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275" windowWidth="18105" windowHeight="11220" activeTab="0"/>
  </bookViews>
  <sheets>
    <sheet name="стр.1_3" sheetId="1" r:id="rId1"/>
    <sheet name="Субсидия доступность" sheetId="2" r:id="rId2"/>
    <sheet name="Субсидия проф образование" sheetId="3" r:id="rId3"/>
    <sheet name="Субсидия ООИ" sheetId="4" r:id="rId4"/>
  </sheets>
  <definedNames>
    <definedName name="_xlnm._FilterDatabase" localSheetId="1" hidden="1">'Субсидия доступность'!$A$2:$I$83</definedName>
    <definedName name="_xlnm.Print_Titles" localSheetId="0">'стр.1_3'!$5:$5</definedName>
    <definedName name="_xlnm.Print_Area" localSheetId="0">'стр.1_3'!$A$1:$E$60</definedName>
  </definedNames>
  <calcPr fullCalcOnLoad="1"/>
</workbook>
</file>

<file path=xl/sharedStrings.xml><?xml version="1.0" encoding="utf-8"?>
<sst xmlns="http://schemas.openxmlformats.org/spreadsheetml/2006/main" count="224" uniqueCount="134">
  <si>
    <t>Статус</t>
  </si>
  <si>
    <t>Наименование государственной программы, подпрограммы государственной программы, федеральной целевой программы (подпрограммы федеральной целевой программы), ведомственной целевой программы, основного мероприятия</t>
  </si>
  <si>
    <t>федеральный бюджет</t>
  </si>
  <si>
    <t>юридические лица</t>
  </si>
  <si>
    <t>Таблица 21</t>
  </si>
  <si>
    <t>Государственная программа</t>
  </si>
  <si>
    <t>Всего:</t>
  </si>
  <si>
    <t>консолидированные бюджеты субъектов 
Российской Федерации</t>
  </si>
  <si>
    <t>территориальные государственные 
внебюджетные фонды</t>
  </si>
  <si>
    <t>Источники ресурсного 
обеспечения</t>
  </si>
  <si>
    <t>ИНФОРМАЦИЯ
о расходах федерального бюджета, бюджетов государственных внебюджетных фондов Российской Федерации,
консолидированных бюджетов субъектов Российской Федерации и юридических лиц на реализацию целей
государственной программы Российской Федерации (тыс. руб.)</t>
  </si>
  <si>
    <t>консолидированные бюджеты субъектов
Российской Федерации</t>
  </si>
  <si>
    <t>территориальные государственные
внебюджетные фонды</t>
  </si>
  <si>
    <t>государственные внебюджетные фонды
Российской Федерации</t>
  </si>
  <si>
    <t>Подпрограмма 1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</t>
  </si>
  <si>
    <t>ОМ 1.2 Содействие реализации мероприятий субъектов Российской Федерации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</si>
  <si>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ОМ 2.2 Предоставление государственных гарантий инвалидам</t>
  </si>
  <si>
    <t>ОМ 2.4 
Оказание государственной поддержки общественным организациям инвалидов и иным некоммерческим организациям</t>
  </si>
  <si>
    <t xml:space="preserve">Оценка 
расходов </t>
  </si>
  <si>
    <t xml:space="preserve">Фактические 
расходы </t>
  </si>
  <si>
    <r>
      <t xml:space="preserve">В том числе государственные корпорации </t>
    </r>
    <r>
      <rPr>
        <sz val="10"/>
        <rFont val="Times New Roman"/>
        <family val="1"/>
      </rPr>
      <t xml:space="preserve"> и публичные акционерные общества с государственным участием</t>
    </r>
  </si>
  <si>
    <r>
      <t>*</t>
    </r>
    <r>
      <rPr>
        <i/>
        <sz val="10"/>
        <rFont val="Times New Roman"/>
        <family val="1"/>
      </rPr>
      <t>Справочно:</t>
    </r>
    <r>
      <rPr>
        <sz val="10"/>
        <rFont val="Times New Roman"/>
        <family val="1"/>
      </rPr>
      <t xml:space="preserve">
источники финансирования дефицита федерального бюджета </t>
    </r>
  </si>
  <si>
    <t>№
п/п</t>
  </si>
  <si>
    <t>Субъект
Российской Федерации</t>
  </si>
  <si>
    <t>Всего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</si>
  <si>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</si>
  <si>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</si>
  <si>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</si>
  <si>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</si>
  <si>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</si>
  <si>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</si>
  <si>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</si>
  <si>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</si>
  <si>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</si>
  <si>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</si>
  <si>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</si>
  <si>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</si>
  <si>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</si>
  <si>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</si>
  <si>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</si>
  <si>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(Алания)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</si>
  <si>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</si>
  <si>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</si>
  <si>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</si>
  <si>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</si>
  <si>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</si>
  <si>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</si>
  <si>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</si>
  <si>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</si>
  <si>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</si>
  <si>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</si>
  <si>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</si>
  <si>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</si>
  <si>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</si>
  <si>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</si>
  <si>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</si>
  <si>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</si>
  <si>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</si>
  <si>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</si>
  <si>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</si>
  <si>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</si>
  <si>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</si>
  <si>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</si>
  <si>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</si>
  <si>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</si>
  <si>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</si>
  <si>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</si>
  <si>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</si>
  <si>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</si>
  <si>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</si>
  <si>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</si>
  <si>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</si>
  <si>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</si>
  <si>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</si>
  <si>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</si>
  <si>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</si>
  <si>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</si>
  <si>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</si>
  <si>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</si>
  <si>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</si>
  <si>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</si>
  <si>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</si>
  <si>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</si>
  <si>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</si>
  <si>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</si>
  <si>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</si>
  <si>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</si>
  <si>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</si>
  <si>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</si>
  <si>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</si>
  <si>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</si>
  <si>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</si>
  <si>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</si>
  <si>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</si>
  <si>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</si>
  <si>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</si>
  <si>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</si>
  <si>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</si>
  <si>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</si>
  <si>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</si>
  <si>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город Севастополь</t>
  </si>
  <si>
    <t>Еврейская автономная область</t>
  </si>
  <si>
    <t>Ненецкий автономный округ</t>
  </si>
  <si>
    <t>Ханты-Мансийский автономный округ-Югра</t>
  </si>
  <si>
    <t>Чукотский автономный округ</t>
  </si>
  <si>
    <t>Ямало-Ненецкий автономный округ</t>
  </si>
  <si>
    <t>Общероссийская общественная организация "Всероссийское общество инвалидов"</t>
  </si>
  <si>
    <t>Региональная общественная организация инвалидов "Перспектива"</t>
  </si>
  <si>
    <t>Межрегиональная общественная организация инвалидов "Доступ есть"</t>
  </si>
  <si>
    <t>Общероссийская общественная организация инвалидов "Всероссийское общество глухих"</t>
  </si>
  <si>
    <t>Орловская молодежная областная общественная организация инвалидов "Орловские Родники"</t>
  </si>
  <si>
    <t>Региональная общественная организация инвалидов "Стимул" Московской области</t>
  </si>
  <si>
    <t>Общероссийская общественная организация инвалидов "Всероссийское ордена Трудового Красного Знамени общество слепых"</t>
  </si>
  <si>
    <t>Общественная организация "Тюменская областная общественная организация Общероссийской общественной организации "Всероссийское общество инвалидов"</t>
  </si>
  <si>
    <t xml:space="preserve">N п/п
</t>
  </si>
  <si>
    <t xml:space="preserve">Наименование общественных организаций инвалидов
</t>
  </si>
  <si>
    <t>ИТОГО</t>
  </si>
  <si>
    <t>Объем субсидии (тыс. рублей)</t>
  </si>
  <si>
    <t>Объем средств субсидии (тыс. рублей)</t>
  </si>
  <si>
    <t>Факт по отчету (ФБ)</t>
  </si>
  <si>
    <t>Факт по отчету (субъект)</t>
  </si>
  <si>
    <t>Общий объем ФБ+БС</t>
  </si>
  <si>
    <t>Ханты-Мансийский автономный округ - Югра</t>
  </si>
  <si>
    <t>Местные бюджеты</t>
  </si>
  <si>
    <t>ИТОГО из консолидированного бюджета</t>
  </si>
  <si>
    <t xml:space="preserve">Размер субсидии (руб.) 
(план)
</t>
  </si>
  <si>
    <t>Размер совственных средств ООИ
(план)</t>
  </si>
  <si>
    <t xml:space="preserve">Размер субсидии (руб.) 
(факт)
</t>
  </si>
  <si>
    <t>Размер совственных средств ООИ
(факт)</t>
  </si>
  <si>
    <t>Объем средств субъекта (тыс. рублей)</t>
  </si>
  <si>
    <t>Подпрограмма 2. Совершенствование системы комплексной реабилитации и абилитации инвалидов</t>
  </si>
  <si>
    <t>государственные внебюджетные фонды*
Российской Федерации</t>
  </si>
  <si>
    <t>государственные внебюджетные фонды
Российской Федерации*</t>
  </si>
  <si>
    <t>* фактические расходы ФСС  в размере 23 431 852,36 тыс. руб. осуществлены исходя из предусмотренных ФСС на 2016 год (сводная бюджетная роспись ФСС  на 31.12.2016г.):  15 365 896,3тыс.руб.,  7 707 636,1 тыс, руб (распоряжение Правительства Российской Федерации от 31.12.2015 №2782-р),  601 187,0 (остатки прошлых лет) тыс. руб.    При этом согласно сводной бюджетной росписи ФСС по состоянию на 1.01.2016г. обьем средств на ТСР составил 15 365 896,3 тыс. руб.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</si>
</sst>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vertical="center" wrapText="1"/>
    </xf>
    <xf numFmtId="0" fontId="7" fillId="35" borderId="11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/>
    </xf>
    <xf numFmtId="0" fontId="7" fillId="34" borderId="13" xfId="0" applyFont="1" applyFill="1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2" fontId="0" fillId="38" borderId="11" xfId="0" applyNumberForma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4" fontId="8" fillId="33" borderId="11" xfId="0" applyNumberFormat="1" applyFont="1" applyFill="1" applyBorder="1" applyAlignment="1">
      <alignment horizontal="center" vertical="center" wrapText="1"/>
    </xf>
    <xf numFmtId="2" fontId="0" fillId="39" borderId="11" xfId="0" applyNumberFormat="1" applyFill="1" applyBorder="1" applyAlignment="1">
      <alignment horizontal="center" vertical="center" wrapText="1"/>
    </xf>
    <xf numFmtId="0" fontId="0" fillId="39" borderId="11" xfId="0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top"/>
    </xf>
    <xf numFmtId="0" fontId="0" fillId="37" borderId="11" xfId="0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view="pageBreakPreview" zoomScale="140" zoomScaleSheetLayoutView="140" zoomScalePageLayoutView="0" workbookViewId="0" topLeftCell="A1">
      <selection activeCell="A3" sqref="A3:E3"/>
    </sheetView>
  </sheetViews>
  <sheetFormatPr defaultColWidth="9.00390625" defaultRowHeight="12.75"/>
  <cols>
    <col min="1" max="1" width="17.25390625" style="2" customWidth="1"/>
    <col min="2" max="2" width="33.25390625" style="2" customWidth="1"/>
    <col min="3" max="3" width="53.125" style="2" customWidth="1"/>
    <col min="4" max="5" width="17.75390625" style="2" customWidth="1"/>
    <col min="6" max="16384" width="9.125" style="2" customWidth="1"/>
  </cols>
  <sheetData>
    <row r="1" ht="12.75">
      <c r="E1" s="3" t="s">
        <v>4</v>
      </c>
    </row>
    <row r="2" s="1" customFormat="1" ht="12.75" customHeight="1"/>
    <row r="3" spans="1:5" s="1" customFormat="1" ht="55.5" customHeight="1">
      <c r="A3" s="47" t="s">
        <v>10</v>
      </c>
      <c r="B3" s="47"/>
      <c r="C3" s="47"/>
      <c r="D3" s="47"/>
      <c r="E3" s="47"/>
    </row>
    <row r="4" s="1" customFormat="1" ht="12.75" customHeight="1"/>
    <row r="5" spans="1:5" ht="93" customHeight="1">
      <c r="A5" s="4" t="s">
        <v>0</v>
      </c>
      <c r="B5" s="4" t="s">
        <v>1</v>
      </c>
      <c r="C5" s="4" t="s">
        <v>9</v>
      </c>
      <c r="D5" s="5" t="s">
        <v>18</v>
      </c>
      <c r="E5" s="5" t="s">
        <v>19</v>
      </c>
    </row>
    <row r="6" spans="1:5" s="8" customFormat="1" ht="12.75">
      <c r="A6" s="7">
        <v>1</v>
      </c>
      <c r="B6" s="7">
        <v>2</v>
      </c>
      <c r="C6" s="7">
        <v>3</v>
      </c>
      <c r="D6" s="7">
        <v>4</v>
      </c>
      <c r="E6" s="7">
        <v>5</v>
      </c>
    </row>
    <row r="7" spans="1:5" ht="14.25" customHeight="1">
      <c r="A7" s="42" t="s">
        <v>5</v>
      </c>
      <c r="B7" s="39"/>
      <c r="C7" s="6" t="s">
        <v>6</v>
      </c>
      <c r="D7" s="36">
        <f aca="true" t="shared" si="0" ref="D7:E14">D15+D31</f>
        <v>19834775.895170003</v>
      </c>
      <c r="E7" s="36">
        <f t="shared" si="0"/>
        <v>27876921.65402</v>
      </c>
    </row>
    <row r="8" spans="1:5" ht="14.25" customHeight="1">
      <c r="A8" s="43"/>
      <c r="B8" s="40"/>
      <c r="C8" s="6" t="s">
        <v>2</v>
      </c>
      <c r="D8" s="36">
        <f t="shared" si="0"/>
        <v>2767867.8000000003</v>
      </c>
      <c r="E8" s="36">
        <f t="shared" si="0"/>
        <v>2725777.9122899994</v>
      </c>
    </row>
    <row r="9" spans="1:5" ht="27" customHeight="1">
      <c r="A9" s="43"/>
      <c r="B9" s="40"/>
      <c r="C9" s="6" t="s">
        <v>7</v>
      </c>
      <c r="D9" s="36">
        <f t="shared" si="0"/>
        <v>1535669.0100000002</v>
      </c>
      <c r="E9" s="36">
        <f t="shared" si="0"/>
        <v>1559067.3065600006</v>
      </c>
    </row>
    <row r="10" spans="1:5" ht="26.25" customHeight="1">
      <c r="A10" s="43"/>
      <c r="B10" s="40"/>
      <c r="C10" s="6" t="s">
        <v>132</v>
      </c>
      <c r="D10" s="36">
        <f t="shared" si="0"/>
        <v>15365896.3</v>
      </c>
      <c r="E10" s="36">
        <f t="shared" si="0"/>
        <v>23431852.36</v>
      </c>
    </row>
    <row r="11" spans="1:5" ht="26.25" customHeight="1">
      <c r="A11" s="43"/>
      <c r="B11" s="40"/>
      <c r="C11" s="6" t="s">
        <v>8</v>
      </c>
      <c r="D11" s="36">
        <f t="shared" si="0"/>
        <v>0</v>
      </c>
      <c r="E11" s="36">
        <f t="shared" si="0"/>
        <v>0</v>
      </c>
    </row>
    <row r="12" spans="1:5" ht="14.25" customHeight="1">
      <c r="A12" s="43"/>
      <c r="B12" s="40"/>
      <c r="C12" s="6" t="s">
        <v>3</v>
      </c>
      <c r="D12" s="36">
        <f t="shared" si="0"/>
        <v>165342.78517000002</v>
      </c>
      <c r="E12" s="36">
        <f t="shared" si="0"/>
        <v>160224.07517000003</v>
      </c>
    </row>
    <row r="13" spans="1:5" ht="28.5" customHeight="1">
      <c r="A13" s="43"/>
      <c r="B13" s="40"/>
      <c r="C13" s="6" t="s">
        <v>20</v>
      </c>
      <c r="D13" s="36">
        <f t="shared" si="0"/>
        <v>0</v>
      </c>
      <c r="E13" s="36">
        <f t="shared" si="0"/>
        <v>0</v>
      </c>
    </row>
    <row r="14" spans="1:5" ht="29.25" customHeight="1">
      <c r="A14" s="44"/>
      <c r="B14" s="41"/>
      <c r="C14" s="6" t="s">
        <v>21</v>
      </c>
      <c r="D14" s="36">
        <f t="shared" si="0"/>
        <v>0</v>
      </c>
      <c r="E14" s="36">
        <f t="shared" si="0"/>
        <v>0</v>
      </c>
    </row>
    <row r="15" spans="1:5" ht="18.75" customHeight="1">
      <c r="A15" s="42" t="s">
        <v>14</v>
      </c>
      <c r="B15" s="39"/>
      <c r="C15" s="6" t="s">
        <v>6</v>
      </c>
      <c r="D15" s="36">
        <f aca="true" t="shared" si="1" ref="D15:E22">D23</f>
        <v>3722387.0720000006</v>
      </c>
      <c r="E15" s="36">
        <f t="shared" si="1"/>
        <v>3704241.6903399997</v>
      </c>
    </row>
    <row r="16" spans="1:5" ht="18.75" customHeight="1">
      <c r="A16" s="43"/>
      <c r="B16" s="40"/>
      <c r="C16" s="6" t="s">
        <v>2</v>
      </c>
      <c r="D16" s="36">
        <f t="shared" si="1"/>
        <v>2294827.8000000003</v>
      </c>
      <c r="E16" s="36">
        <f t="shared" si="1"/>
        <v>2252741.960809999</v>
      </c>
    </row>
    <row r="17" spans="1:5" ht="30" customHeight="1">
      <c r="A17" s="43"/>
      <c r="B17" s="40"/>
      <c r="C17" s="6" t="s">
        <v>7</v>
      </c>
      <c r="D17" s="36">
        <f t="shared" si="1"/>
        <v>1427559.272</v>
      </c>
      <c r="E17" s="36">
        <f t="shared" si="1"/>
        <v>1451499.7295300006</v>
      </c>
    </row>
    <row r="18" spans="1:5" ht="29.25" customHeight="1">
      <c r="A18" s="43"/>
      <c r="B18" s="40"/>
      <c r="C18" s="6" t="s">
        <v>13</v>
      </c>
      <c r="D18" s="36">
        <f t="shared" si="1"/>
        <v>0</v>
      </c>
      <c r="E18" s="36">
        <f t="shared" si="1"/>
        <v>0</v>
      </c>
    </row>
    <row r="19" spans="1:5" ht="28.5" customHeight="1">
      <c r="A19" s="43"/>
      <c r="B19" s="40"/>
      <c r="C19" s="6" t="s">
        <v>8</v>
      </c>
      <c r="D19" s="36">
        <f t="shared" si="1"/>
        <v>0</v>
      </c>
      <c r="E19" s="36">
        <f t="shared" si="1"/>
        <v>0</v>
      </c>
    </row>
    <row r="20" spans="1:5" ht="14.25" customHeight="1">
      <c r="A20" s="43"/>
      <c r="B20" s="40"/>
      <c r="C20" s="6" t="s">
        <v>3</v>
      </c>
      <c r="D20" s="36">
        <f t="shared" si="1"/>
        <v>0</v>
      </c>
      <c r="E20" s="36">
        <f t="shared" si="1"/>
        <v>0</v>
      </c>
    </row>
    <row r="21" spans="1:5" ht="28.5" customHeight="1">
      <c r="A21" s="43"/>
      <c r="B21" s="40"/>
      <c r="C21" s="6" t="s">
        <v>20</v>
      </c>
      <c r="D21" s="36">
        <f t="shared" si="1"/>
        <v>0</v>
      </c>
      <c r="E21" s="36">
        <f t="shared" si="1"/>
        <v>0</v>
      </c>
    </row>
    <row r="22" spans="1:5" ht="29.25" customHeight="1">
      <c r="A22" s="44"/>
      <c r="B22" s="41"/>
      <c r="C22" s="6" t="s">
        <v>21</v>
      </c>
      <c r="D22" s="36">
        <f t="shared" si="1"/>
        <v>0</v>
      </c>
      <c r="E22" s="36">
        <f t="shared" si="1"/>
        <v>0</v>
      </c>
    </row>
    <row r="23" spans="1:5" ht="26.25" customHeight="1">
      <c r="A23" s="42" t="s">
        <v>15</v>
      </c>
      <c r="B23" s="39"/>
      <c r="C23" s="6" t="s">
        <v>6</v>
      </c>
      <c r="D23" s="36">
        <f>SUM(D24:D30)</f>
        <v>3722387.0720000006</v>
      </c>
      <c r="E23" s="36">
        <f>SUM(E24:E30)</f>
        <v>3704241.6903399997</v>
      </c>
    </row>
    <row r="24" spans="1:5" ht="14.25" customHeight="1">
      <c r="A24" s="43"/>
      <c r="B24" s="40"/>
      <c r="C24" s="6" t="s">
        <v>2</v>
      </c>
      <c r="D24" s="36">
        <f>'Субсидия доступность'!C2</f>
        <v>2294827.8000000003</v>
      </c>
      <c r="E24" s="36">
        <f>'Субсидия доступность'!H2</f>
        <v>2252741.960809999</v>
      </c>
    </row>
    <row r="25" spans="1:5" ht="26.25" customHeight="1">
      <c r="A25" s="43"/>
      <c r="B25" s="40"/>
      <c r="C25" s="6" t="s">
        <v>11</v>
      </c>
      <c r="D25" s="36">
        <f>'Субсидия доступность'!G2</f>
        <v>1427559.272</v>
      </c>
      <c r="E25" s="36">
        <f>'Субсидия доступность'!I2</f>
        <v>1451499.7295300006</v>
      </c>
    </row>
    <row r="26" spans="1:5" ht="26.25" customHeight="1">
      <c r="A26" s="43"/>
      <c r="B26" s="40"/>
      <c r="C26" s="6" t="s">
        <v>13</v>
      </c>
      <c r="D26" s="36">
        <v>0</v>
      </c>
      <c r="E26" s="36">
        <v>0</v>
      </c>
    </row>
    <row r="27" spans="1:5" ht="26.25" customHeight="1">
      <c r="A27" s="43"/>
      <c r="B27" s="40"/>
      <c r="C27" s="6" t="s">
        <v>12</v>
      </c>
      <c r="D27" s="36">
        <v>0</v>
      </c>
      <c r="E27" s="36">
        <v>0</v>
      </c>
    </row>
    <row r="28" spans="1:5" ht="14.25" customHeight="1">
      <c r="A28" s="43"/>
      <c r="B28" s="40"/>
      <c r="C28" s="6" t="s">
        <v>3</v>
      </c>
      <c r="D28" s="36">
        <v>0</v>
      </c>
      <c r="E28" s="36">
        <v>0</v>
      </c>
    </row>
    <row r="29" spans="1:5" ht="28.5" customHeight="1">
      <c r="A29" s="43"/>
      <c r="B29" s="40"/>
      <c r="C29" s="6" t="s">
        <v>20</v>
      </c>
      <c r="D29" s="36">
        <v>0</v>
      </c>
      <c r="E29" s="36">
        <v>0</v>
      </c>
    </row>
    <row r="30" spans="1:5" ht="29.25" customHeight="1">
      <c r="A30" s="44"/>
      <c r="B30" s="41"/>
      <c r="C30" s="6" t="s">
        <v>21</v>
      </c>
      <c r="D30" s="36">
        <v>0</v>
      </c>
      <c r="E30" s="36">
        <v>0</v>
      </c>
    </row>
    <row r="31" spans="1:5" ht="14.25" customHeight="1">
      <c r="A31" s="42" t="s">
        <v>130</v>
      </c>
      <c r="B31" s="39"/>
      <c r="C31" s="6" t="s">
        <v>6</v>
      </c>
      <c r="D31" s="36">
        <f aca="true" t="shared" si="2" ref="D31:E38">D39+D47</f>
        <v>16112388.82317</v>
      </c>
      <c r="E31" s="36">
        <f t="shared" si="2"/>
        <v>24172679.96368</v>
      </c>
    </row>
    <row r="32" spans="1:5" ht="14.25" customHeight="1">
      <c r="A32" s="43"/>
      <c r="B32" s="40"/>
      <c r="C32" s="6" t="s">
        <v>2</v>
      </c>
      <c r="D32" s="36">
        <f t="shared" si="2"/>
        <v>473040.00000000006</v>
      </c>
      <c r="E32" s="36">
        <f t="shared" si="2"/>
        <v>473035.95148000005</v>
      </c>
    </row>
    <row r="33" spans="1:5" ht="14.25" customHeight="1">
      <c r="A33" s="43"/>
      <c r="B33" s="40"/>
      <c r="C33" s="6" t="s">
        <v>7</v>
      </c>
      <c r="D33" s="36">
        <f t="shared" si="2"/>
        <v>108109.73800000001</v>
      </c>
      <c r="E33" s="36">
        <f t="shared" si="2"/>
        <v>107567.57703</v>
      </c>
    </row>
    <row r="34" spans="1:5" ht="26.25" customHeight="1">
      <c r="A34" s="43"/>
      <c r="B34" s="40"/>
      <c r="C34" s="6" t="s">
        <v>132</v>
      </c>
      <c r="D34" s="36">
        <f t="shared" si="2"/>
        <v>15365896.3</v>
      </c>
      <c r="E34" s="36">
        <f t="shared" si="2"/>
        <v>23431852.36</v>
      </c>
    </row>
    <row r="35" spans="1:5" ht="26.25" customHeight="1">
      <c r="A35" s="43"/>
      <c r="B35" s="40"/>
      <c r="C35" s="6" t="s">
        <v>8</v>
      </c>
      <c r="D35" s="36">
        <f t="shared" si="2"/>
        <v>0</v>
      </c>
      <c r="E35" s="36">
        <f t="shared" si="2"/>
        <v>0</v>
      </c>
    </row>
    <row r="36" spans="1:5" ht="26.25" customHeight="1">
      <c r="A36" s="43"/>
      <c r="B36" s="40"/>
      <c r="C36" s="6" t="s">
        <v>3</v>
      </c>
      <c r="D36" s="36">
        <f t="shared" si="2"/>
        <v>165342.78517000002</v>
      </c>
      <c r="E36" s="36">
        <f t="shared" si="2"/>
        <v>160224.07517000003</v>
      </c>
    </row>
    <row r="37" spans="1:5" ht="33" customHeight="1">
      <c r="A37" s="43"/>
      <c r="B37" s="40"/>
      <c r="C37" s="6" t="s">
        <v>20</v>
      </c>
      <c r="D37" s="36">
        <f t="shared" si="2"/>
        <v>0</v>
      </c>
      <c r="E37" s="36">
        <f t="shared" si="2"/>
        <v>0</v>
      </c>
    </row>
    <row r="38" spans="1:5" ht="32.25" customHeight="1">
      <c r="A38" s="44"/>
      <c r="B38" s="41"/>
      <c r="C38" s="6" t="s">
        <v>21</v>
      </c>
      <c r="D38" s="36">
        <f t="shared" si="2"/>
        <v>0</v>
      </c>
      <c r="E38" s="36">
        <f t="shared" si="2"/>
        <v>0</v>
      </c>
    </row>
    <row r="39" spans="1:5" ht="24" customHeight="1">
      <c r="A39" s="42" t="s">
        <v>16</v>
      </c>
      <c r="B39" s="39"/>
      <c r="C39" s="6" t="s">
        <v>6</v>
      </c>
      <c r="D39" s="36">
        <f>SUM(D40:D46)</f>
        <v>15780006.038</v>
      </c>
      <c r="E39" s="36">
        <f>SUM(E40:E46)</f>
        <v>23845418.13652</v>
      </c>
    </row>
    <row r="40" spans="1:5" s="9" customFormat="1" ht="12" customHeight="1">
      <c r="A40" s="43"/>
      <c r="B40" s="40"/>
      <c r="C40" s="6" t="s">
        <v>2</v>
      </c>
      <c r="D40" s="36">
        <f>'Субсидия проф образование'!C2</f>
        <v>306000.00000000006</v>
      </c>
      <c r="E40" s="36">
        <f>'Субсидия проф образование'!E2</f>
        <v>305998.19949</v>
      </c>
    </row>
    <row r="41" spans="1:5" s="9" customFormat="1" ht="24.75" customHeight="1">
      <c r="A41" s="43"/>
      <c r="B41" s="40"/>
      <c r="C41" s="6" t="s">
        <v>7</v>
      </c>
      <c r="D41" s="36">
        <f>'Субсидия проф образование'!D2</f>
        <v>108109.73800000001</v>
      </c>
      <c r="E41" s="36">
        <f>'Субсидия проф образование'!F2</f>
        <v>107567.57703</v>
      </c>
    </row>
    <row r="42" spans="1:5" s="9" customFormat="1" ht="30" customHeight="1">
      <c r="A42" s="43"/>
      <c r="B42" s="40"/>
      <c r="C42" s="6" t="s">
        <v>131</v>
      </c>
      <c r="D42" s="36">
        <v>15365896.3</v>
      </c>
      <c r="E42" s="36">
        <v>23431852.36</v>
      </c>
    </row>
    <row r="43" spans="1:5" ht="25.5">
      <c r="A43" s="43"/>
      <c r="B43" s="40"/>
      <c r="C43" s="6" t="s">
        <v>8</v>
      </c>
      <c r="D43" s="36">
        <v>0</v>
      </c>
      <c r="E43" s="36">
        <v>0</v>
      </c>
    </row>
    <row r="44" spans="1:5" ht="12.75">
      <c r="A44" s="43"/>
      <c r="B44" s="40"/>
      <c r="C44" s="6" t="s">
        <v>3</v>
      </c>
      <c r="D44" s="36">
        <v>0</v>
      </c>
      <c r="E44" s="36">
        <v>0</v>
      </c>
    </row>
    <row r="45" spans="1:5" ht="25.5">
      <c r="A45" s="43"/>
      <c r="B45" s="40"/>
      <c r="C45" s="6" t="s">
        <v>20</v>
      </c>
      <c r="D45" s="36">
        <v>0</v>
      </c>
      <c r="E45" s="36">
        <v>0</v>
      </c>
    </row>
    <row r="46" spans="1:5" ht="25.5">
      <c r="A46" s="44"/>
      <c r="B46" s="41"/>
      <c r="C46" s="6" t="s">
        <v>21</v>
      </c>
      <c r="D46" s="36">
        <v>0</v>
      </c>
      <c r="E46" s="36">
        <v>0</v>
      </c>
    </row>
    <row r="47" spans="1:5" ht="12.75">
      <c r="A47" s="42" t="s">
        <v>17</v>
      </c>
      <c r="B47" s="39"/>
      <c r="C47" s="6" t="s">
        <v>6</v>
      </c>
      <c r="D47" s="36">
        <f>SUM(D48:D54)</f>
        <v>332382.78517000005</v>
      </c>
      <c r="E47" s="36">
        <f>SUM(E48:E54)</f>
        <v>327261.82716000004</v>
      </c>
    </row>
    <row r="48" spans="1:5" ht="12.75">
      <c r="A48" s="43"/>
      <c r="B48" s="40"/>
      <c r="C48" s="6" t="s">
        <v>2</v>
      </c>
      <c r="D48" s="36">
        <f>'Субсидия ООИ'!C10/1000</f>
        <v>167040</v>
      </c>
      <c r="E48" s="36">
        <f>'Субсидия ООИ'!E10/1000</f>
        <v>167037.75199000002</v>
      </c>
    </row>
    <row r="49" spans="1:5" ht="25.5">
      <c r="A49" s="43"/>
      <c r="B49" s="40"/>
      <c r="C49" s="6" t="s">
        <v>7</v>
      </c>
      <c r="D49" s="36">
        <v>0</v>
      </c>
      <c r="E49" s="36">
        <v>0</v>
      </c>
    </row>
    <row r="50" spans="1:5" ht="25.5">
      <c r="A50" s="43"/>
      <c r="B50" s="40"/>
      <c r="C50" s="6" t="s">
        <v>13</v>
      </c>
      <c r="D50" s="36">
        <v>0</v>
      </c>
      <c r="E50" s="36">
        <v>0</v>
      </c>
    </row>
    <row r="51" spans="1:5" ht="25.5">
      <c r="A51" s="43"/>
      <c r="B51" s="40"/>
      <c r="C51" s="6" t="s">
        <v>8</v>
      </c>
      <c r="D51" s="36">
        <v>0</v>
      </c>
      <c r="E51" s="36">
        <v>0</v>
      </c>
    </row>
    <row r="52" spans="1:5" ht="12.75">
      <c r="A52" s="43"/>
      <c r="B52" s="40"/>
      <c r="C52" s="6" t="s">
        <v>3</v>
      </c>
      <c r="D52" s="36">
        <f>'Субсидия ООИ'!D10/1000</f>
        <v>165342.78517000002</v>
      </c>
      <c r="E52" s="36">
        <f>'Субсидия ООИ'!F10/1000</f>
        <v>160224.07517000003</v>
      </c>
    </row>
    <row r="53" spans="1:5" ht="25.5">
      <c r="A53" s="43"/>
      <c r="B53" s="40"/>
      <c r="C53" s="6" t="s">
        <v>20</v>
      </c>
      <c r="D53" s="36">
        <v>0</v>
      </c>
      <c r="E53" s="36">
        <v>0</v>
      </c>
    </row>
    <row r="54" spans="1:5" ht="25.5">
      <c r="A54" s="44"/>
      <c r="B54" s="41"/>
      <c r="C54" s="6" t="s">
        <v>21</v>
      </c>
      <c r="D54" s="36">
        <v>0</v>
      </c>
      <c r="E54" s="36">
        <v>0</v>
      </c>
    </row>
    <row r="55" spans="1:5" ht="12.75">
      <c r="A55" s="45" t="s">
        <v>133</v>
      </c>
      <c r="B55" s="45"/>
      <c r="C55" s="45"/>
      <c r="D55" s="45"/>
      <c r="E55" s="45"/>
    </row>
    <row r="56" spans="1:5" ht="12.75">
      <c r="A56" s="46"/>
      <c r="B56" s="46"/>
      <c r="C56" s="46"/>
      <c r="D56" s="46"/>
      <c r="E56" s="46"/>
    </row>
    <row r="57" spans="1:5" ht="12.75">
      <c r="A57" s="46"/>
      <c r="B57" s="46"/>
      <c r="C57" s="46"/>
      <c r="D57" s="46"/>
      <c r="E57" s="46"/>
    </row>
    <row r="58" spans="1:5" ht="12.75">
      <c r="A58" s="46"/>
      <c r="B58" s="46"/>
      <c r="C58" s="46"/>
      <c r="D58" s="46"/>
      <c r="E58" s="46"/>
    </row>
    <row r="59" spans="1:5" ht="12.75">
      <c r="A59" s="46"/>
      <c r="B59" s="46"/>
      <c r="C59" s="46"/>
      <c r="D59" s="46"/>
      <c r="E59" s="46"/>
    </row>
    <row r="60" spans="1:5" ht="12.75">
      <c r="A60" s="46"/>
      <c r="B60" s="46"/>
      <c r="C60" s="46"/>
      <c r="D60" s="46"/>
      <c r="E60" s="46"/>
    </row>
  </sheetData>
  <sheetProtection/>
  <mergeCells count="14">
    <mergeCell ref="B7:B14"/>
    <mergeCell ref="A31:A38"/>
    <mergeCell ref="B31:B38"/>
    <mergeCell ref="A55:E60"/>
    <mergeCell ref="A3:E3"/>
    <mergeCell ref="A15:A22"/>
    <mergeCell ref="A39:A46"/>
    <mergeCell ref="B39:B46"/>
    <mergeCell ref="A47:A54"/>
    <mergeCell ref="B47:B54"/>
    <mergeCell ref="B15:B22"/>
    <mergeCell ref="A23:A30"/>
    <mergeCell ref="B23:B30"/>
    <mergeCell ref="A7:A1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2" max="4" man="1"/>
    <brk id="38" max="4" man="1"/>
    <brk id="5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46">
      <selection activeCell="G8" sqref="G8"/>
    </sheetView>
  </sheetViews>
  <sheetFormatPr defaultColWidth="9.00390625" defaultRowHeight="12.75"/>
  <cols>
    <col min="1" max="1" width="9.00390625" style="0" customWidth="1"/>
    <col min="2" max="2" width="21.875" style="0" customWidth="1"/>
    <col min="3" max="3" width="13.125" style="32" customWidth="1"/>
    <col min="4" max="4" width="13.125" style="0" customWidth="1"/>
    <col min="5" max="5" width="14.375" style="0" customWidth="1"/>
    <col min="6" max="6" width="12.875" style="0" customWidth="1"/>
    <col min="7" max="7" width="14.75390625" style="32" customWidth="1"/>
    <col min="8" max="8" width="15.875" style="0" customWidth="1"/>
    <col min="9" max="9" width="14.875" style="0" customWidth="1"/>
  </cols>
  <sheetData>
    <row r="1" spans="1:9" ht="60">
      <c r="A1" s="12" t="s">
        <v>22</v>
      </c>
      <c r="B1" s="15" t="s">
        <v>23</v>
      </c>
      <c r="C1" s="16" t="s">
        <v>117</v>
      </c>
      <c r="D1" s="24" t="s">
        <v>121</v>
      </c>
      <c r="E1" s="24" t="s">
        <v>118</v>
      </c>
      <c r="F1" s="24" t="s">
        <v>123</v>
      </c>
      <c r="G1" s="30" t="s">
        <v>124</v>
      </c>
      <c r="H1" s="15" t="s">
        <v>119</v>
      </c>
      <c r="I1" s="15" t="s">
        <v>120</v>
      </c>
    </row>
    <row r="2" spans="1:9" ht="15">
      <c r="A2" s="10"/>
      <c r="B2" s="11" t="s">
        <v>24</v>
      </c>
      <c r="C2" s="33">
        <f aca="true" t="shared" si="0" ref="C2:I2">SUM(C3:C83)</f>
        <v>2294827.8000000003</v>
      </c>
      <c r="D2" s="33">
        <f t="shared" si="0"/>
        <v>3515788.726999999</v>
      </c>
      <c r="E2" s="33">
        <f t="shared" si="0"/>
        <v>1220960.9270000001</v>
      </c>
      <c r="F2" s="33">
        <f t="shared" si="0"/>
        <v>206598.345</v>
      </c>
      <c r="G2" s="33">
        <f t="shared" si="0"/>
        <v>1427559.272</v>
      </c>
      <c r="H2" s="33">
        <f t="shared" si="0"/>
        <v>2252741.960809999</v>
      </c>
      <c r="I2" s="33">
        <f t="shared" si="0"/>
        <v>1451499.7295300006</v>
      </c>
    </row>
    <row r="3" spans="1:9" ht="15">
      <c r="A3" s="12">
        <v>1</v>
      </c>
      <c r="B3" s="13" t="s">
        <v>25</v>
      </c>
      <c r="C3" s="31">
        <v>20251.5</v>
      </c>
      <c r="D3" s="29">
        <v>23257.5</v>
      </c>
      <c r="E3" s="29">
        <f aca="true" t="shared" si="1" ref="E3:E66">D3-C3</f>
        <v>3006</v>
      </c>
      <c r="F3" s="29">
        <v>5673.6</v>
      </c>
      <c r="G3" s="31">
        <f>E3+F3</f>
        <v>8679.6</v>
      </c>
      <c r="H3" s="29">
        <f>4471.902+12398.5+3360</f>
        <v>20230.402000000002</v>
      </c>
      <c r="I3" s="29">
        <f>6612.90173+17711.13779+4800-H3</f>
        <v>8893.637519999997</v>
      </c>
    </row>
    <row r="4" spans="1:9" ht="15">
      <c r="A4" s="12">
        <v>2</v>
      </c>
      <c r="B4" s="13" t="s">
        <v>26</v>
      </c>
      <c r="C4" s="31">
        <v>18401.8</v>
      </c>
      <c r="D4" s="29">
        <v>19449.5</v>
      </c>
      <c r="E4" s="29">
        <f t="shared" si="1"/>
        <v>1047.7000000000007</v>
      </c>
      <c r="F4" s="29"/>
      <c r="G4" s="31">
        <f aca="true" t="shared" si="2" ref="G4:G67">E4+F4</f>
        <v>1047.7000000000007</v>
      </c>
      <c r="H4" s="29">
        <f>3451.5+13620.9+1329.4</f>
        <v>18401.800000000003</v>
      </c>
      <c r="I4" s="29">
        <f>3712.3+14337.8+1399.4-H4</f>
        <v>1047.699999999997</v>
      </c>
    </row>
    <row r="5" spans="1:9" ht="30">
      <c r="A5" s="12">
        <v>3</v>
      </c>
      <c r="B5" s="13" t="s">
        <v>27</v>
      </c>
      <c r="C5" s="31">
        <v>52039.4</v>
      </c>
      <c r="D5" s="29">
        <v>117909.4</v>
      </c>
      <c r="E5" s="29">
        <f t="shared" si="1"/>
        <v>65870</v>
      </c>
      <c r="F5" s="29">
        <v>6239.9</v>
      </c>
      <c r="G5" s="31">
        <f t="shared" si="2"/>
        <v>72109.9</v>
      </c>
      <c r="H5" s="29">
        <f>33539.3062+18038.9</f>
        <v>51578.2062</v>
      </c>
      <c r="I5" s="29">
        <f>57504.6784+73380.3539-H5</f>
        <v>79306.82609999999</v>
      </c>
    </row>
    <row r="6" spans="1:9" ht="15">
      <c r="A6" s="12">
        <v>4</v>
      </c>
      <c r="B6" s="13" t="s">
        <v>28</v>
      </c>
      <c r="C6" s="31">
        <v>20847.3</v>
      </c>
      <c r="D6" s="29">
        <v>29781.9</v>
      </c>
      <c r="E6" s="29">
        <f t="shared" si="1"/>
        <v>8934.600000000002</v>
      </c>
      <c r="F6" s="29"/>
      <c r="G6" s="31">
        <f t="shared" si="2"/>
        <v>8934.600000000002</v>
      </c>
      <c r="H6" s="29">
        <f>20847.3</f>
        <v>20847.3</v>
      </c>
      <c r="I6" s="29">
        <f>29872.05-H6</f>
        <v>9024.75</v>
      </c>
    </row>
    <row r="7" spans="1:9" ht="15">
      <c r="A7" s="12">
        <v>5</v>
      </c>
      <c r="B7" s="13" t="s">
        <v>29</v>
      </c>
      <c r="C7" s="31">
        <v>21590.7</v>
      </c>
      <c r="D7" s="29">
        <v>22853.3</v>
      </c>
      <c r="E7" s="29">
        <f t="shared" si="1"/>
        <v>1262.5999999999985</v>
      </c>
      <c r="F7" s="29">
        <v>632</v>
      </c>
      <c r="G7" s="31">
        <f t="shared" si="2"/>
        <v>1894.5999999999985</v>
      </c>
      <c r="H7" s="29">
        <f>21590.7</f>
        <v>21590.7</v>
      </c>
      <c r="I7" s="29">
        <f>23485.3-H7</f>
        <v>1894.5999999999985</v>
      </c>
    </row>
    <row r="8" spans="1:9" ht="30">
      <c r="A8" s="12">
        <v>6</v>
      </c>
      <c r="B8" s="13" t="s">
        <v>30</v>
      </c>
      <c r="C8" s="31">
        <v>12416.3</v>
      </c>
      <c r="D8" s="29">
        <v>13069.8</v>
      </c>
      <c r="E8" s="29">
        <f>D8-C8</f>
        <v>653.5</v>
      </c>
      <c r="F8" s="29"/>
      <c r="G8" s="31">
        <f t="shared" si="2"/>
        <v>653.5</v>
      </c>
      <c r="H8" s="29">
        <f>12416.3</f>
        <v>12416.3</v>
      </c>
      <c r="I8" s="29">
        <f>653.5</f>
        <v>653.5</v>
      </c>
    </row>
    <row r="9" spans="1:9" ht="45">
      <c r="A9" s="12">
        <v>7</v>
      </c>
      <c r="B9" s="13" t="s">
        <v>31</v>
      </c>
      <c r="C9" s="31">
        <v>24461.4</v>
      </c>
      <c r="D9" s="29">
        <v>41957.8</v>
      </c>
      <c r="E9" s="29">
        <f t="shared" si="1"/>
        <v>17496.4</v>
      </c>
      <c r="F9" s="29">
        <v>1447.1</v>
      </c>
      <c r="G9" s="31">
        <f t="shared" si="2"/>
        <v>18943.5</v>
      </c>
      <c r="H9" s="29">
        <f>8023.6+7535.7+8902.1</f>
        <v>24461.4</v>
      </c>
      <c r="I9" s="29">
        <f>21594.12+11318.23+12958.7-H9</f>
        <v>21409.65</v>
      </c>
    </row>
    <row r="10" spans="1:9" ht="15">
      <c r="A10" s="12">
        <v>8</v>
      </c>
      <c r="B10" s="13" t="s">
        <v>32</v>
      </c>
      <c r="C10" s="31">
        <v>13127.9</v>
      </c>
      <c r="D10" s="29">
        <v>16716.6</v>
      </c>
      <c r="E10" s="29">
        <f t="shared" si="1"/>
        <v>3588.699999999999</v>
      </c>
      <c r="F10" s="29">
        <v>2037.5</v>
      </c>
      <c r="G10" s="31">
        <f t="shared" si="2"/>
        <v>5626.199999999999</v>
      </c>
      <c r="H10" s="29">
        <f>13127.9</f>
        <v>13127.9</v>
      </c>
      <c r="I10" s="29">
        <f>18210.7605-H10</f>
        <v>5082.860500000001</v>
      </c>
    </row>
    <row r="11" spans="1:9" ht="45">
      <c r="A11" s="12">
        <v>9</v>
      </c>
      <c r="B11" s="13" t="s">
        <v>33</v>
      </c>
      <c r="C11" s="31">
        <v>18882.8</v>
      </c>
      <c r="D11" s="29">
        <v>27208.2</v>
      </c>
      <c r="E11" s="29">
        <f t="shared" si="1"/>
        <v>8325.400000000001</v>
      </c>
      <c r="F11" s="29">
        <v>192.85</v>
      </c>
      <c r="G11" s="31">
        <f t="shared" si="2"/>
        <v>8518.250000000002</v>
      </c>
      <c r="H11" s="34">
        <f>6998.1+10518.2+1306.7</f>
        <v>18823.000000000004</v>
      </c>
      <c r="I11" s="34">
        <f>10197.05+10758.2+1842.3-H11</f>
        <v>3974.5499999999956</v>
      </c>
    </row>
    <row r="12" spans="1:9" ht="15">
      <c r="A12" s="12">
        <v>10</v>
      </c>
      <c r="B12" s="13" t="s">
        <v>34</v>
      </c>
      <c r="C12" s="31">
        <v>25047.7</v>
      </c>
      <c r="D12" s="29">
        <v>35782.43</v>
      </c>
      <c r="E12" s="29">
        <f t="shared" si="1"/>
        <v>10734.73</v>
      </c>
      <c r="F12" s="29"/>
      <c r="G12" s="31">
        <f t="shared" si="2"/>
        <v>10734.73</v>
      </c>
      <c r="H12" s="29">
        <f>9528.4+15519.3</f>
        <v>25047.699999999997</v>
      </c>
      <c r="I12" s="29">
        <f>22371.4+22170.43-H12</f>
        <v>19494.130000000005</v>
      </c>
    </row>
    <row r="13" spans="1:9" ht="15">
      <c r="A13" s="12">
        <v>11</v>
      </c>
      <c r="B13" s="13" t="s">
        <v>35</v>
      </c>
      <c r="C13" s="31">
        <v>12800.6</v>
      </c>
      <c r="D13" s="29">
        <v>21963.2</v>
      </c>
      <c r="E13" s="29">
        <f t="shared" si="1"/>
        <v>9162.6</v>
      </c>
      <c r="F13" s="29">
        <v>595.6</v>
      </c>
      <c r="G13" s="31">
        <f t="shared" si="2"/>
        <v>9758.2</v>
      </c>
      <c r="H13" s="29">
        <f>5719.6+5411.7+1669.3</f>
        <v>12800.599999999999</v>
      </c>
      <c r="I13" s="29">
        <f>9530.13+7731+2865.3-H13</f>
        <v>7325.829999999998</v>
      </c>
    </row>
    <row r="14" spans="1:9" ht="15">
      <c r="A14" s="12">
        <v>12</v>
      </c>
      <c r="B14" s="13" t="s">
        <v>36</v>
      </c>
      <c r="C14" s="31">
        <v>39790</v>
      </c>
      <c r="D14" s="29">
        <v>61620.6</v>
      </c>
      <c r="E14" s="29">
        <f t="shared" si="1"/>
        <v>21830.6</v>
      </c>
      <c r="F14" s="29"/>
      <c r="G14" s="31">
        <f t="shared" si="2"/>
        <v>21830.6</v>
      </c>
      <c r="H14" s="29">
        <f>12072.7+19579.13244</f>
        <v>31651.832440000002</v>
      </c>
      <c r="I14" s="29">
        <f>27204.50789+20648.33244-H14</f>
        <v>16201.007889999997</v>
      </c>
    </row>
    <row r="15" spans="1:9" ht="15">
      <c r="A15" s="12">
        <v>13</v>
      </c>
      <c r="B15" s="13" t="s">
        <v>37</v>
      </c>
      <c r="C15" s="31">
        <v>233.3</v>
      </c>
      <c r="D15" s="29">
        <v>333.3</v>
      </c>
      <c r="E15" s="29">
        <f t="shared" si="1"/>
        <v>100</v>
      </c>
      <c r="F15" s="29"/>
      <c r="G15" s="31">
        <f t="shared" si="2"/>
        <v>100</v>
      </c>
      <c r="H15" s="29">
        <f>233.3</f>
        <v>233.3</v>
      </c>
      <c r="I15" s="29">
        <f>333.3-H15</f>
        <v>100</v>
      </c>
    </row>
    <row r="16" spans="1:9" ht="15">
      <c r="A16" s="12">
        <v>14</v>
      </c>
      <c r="B16" s="13" t="s">
        <v>38</v>
      </c>
      <c r="C16" s="31">
        <v>21736.7</v>
      </c>
      <c r="D16" s="29">
        <v>29212.9</v>
      </c>
      <c r="E16" s="29">
        <f t="shared" si="1"/>
        <v>7476.200000000001</v>
      </c>
      <c r="F16" s="29">
        <v>1839.8</v>
      </c>
      <c r="G16" s="31">
        <f t="shared" si="2"/>
        <v>9316</v>
      </c>
      <c r="H16" s="29">
        <f>8391.4+12878.6+466.7</f>
        <v>21736.7</v>
      </c>
      <c r="I16" s="29">
        <f>13052.8+18393.7+666.7-H16</f>
        <v>10376.5</v>
      </c>
    </row>
    <row r="17" spans="1:9" ht="30">
      <c r="A17" s="12">
        <v>15</v>
      </c>
      <c r="B17" s="13" t="s">
        <v>39</v>
      </c>
      <c r="C17" s="31">
        <v>49037.2</v>
      </c>
      <c r="D17" s="29">
        <v>54323.1</v>
      </c>
      <c r="E17" s="29">
        <f t="shared" si="1"/>
        <v>5285.9000000000015</v>
      </c>
      <c r="F17" s="29"/>
      <c r="G17" s="31">
        <f t="shared" si="2"/>
        <v>5285.9000000000015</v>
      </c>
      <c r="H17" s="29">
        <f>30539.6+18497.6</f>
        <v>49037.2</v>
      </c>
      <c r="I17" s="29">
        <f>32325.5+21893.75-H17</f>
        <v>5182.050000000003</v>
      </c>
    </row>
    <row r="18" spans="1:9" ht="30">
      <c r="A18" s="12">
        <v>16</v>
      </c>
      <c r="B18" s="13" t="s">
        <v>40</v>
      </c>
      <c r="C18" s="31">
        <v>29852.6</v>
      </c>
      <c r="D18" s="29">
        <v>40573.6</v>
      </c>
      <c r="E18" s="29">
        <f t="shared" si="1"/>
        <v>10721</v>
      </c>
      <c r="F18" s="29">
        <v>6500.1</v>
      </c>
      <c r="G18" s="31">
        <f t="shared" si="2"/>
        <v>17221.1</v>
      </c>
      <c r="H18" s="29">
        <f>9318.9+20300.3+233.3</f>
        <v>29852.499999999996</v>
      </c>
      <c r="I18" s="29">
        <f>16800.51+28914.71+333.3-H18</f>
        <v>16196.020000000008</v>
      </c>
    </row>
    <row r="19" spans="1:9" ht="30">
      <c r="A19" s="12">
        <v>17</v>
      </c>
      <c r="B19" s="13" t="s">
        <v>41</v>
      </c>
      <c r="C19" s="31">
        <v>39547.3</v>
      </c>
      <c r="D19" s="29">
        <v>56496.14</v>
      </c>
      <c r="E19" s="29">
        <f t="shared" si="1"/>
        <v>16948.839999999997</v>
      </c>
      <c r="F19" s="29"/>
      <c r="G19" s="31">
        <f t="shared" si="2"/>
        <v>16948.839999999997</v>
      </c>
      <c r="H19" s="29">
        <f>23516.12+14678.44+1057.82</f>
        <v>39252.38</v>
      </c>
      <c r="I19" s="29">
        <f>33592.47+20969.2+1557.82-H19</f>
        <v>16867.11</v>
      </c>
    </row>
    <row r="20" spans="1:9" ht="15">
      <c r="A20" s="12">
        <v>18</v>
      </c>
      <c r="B20" s="13" t="s">
        <v>42</v>
      </c>
      <c r="C20" s="31">
        <v>21861.9</v>
      </c>
      <c r="D20" s="29">
        <v>23012.5</v>
      </c>
      <c r="E20" s="29">
        <f t="shared" si="1"/>
        <v>1150.5999999999985</v>
      </c>
      <c r="F20" s="29"/>
      <c r="G20" s="31">
        <f t="shared" si="2"/>
        <v>1150.5999999999985</v>
      </c>
      <c r="H20" s="29">
        <f>21861.9</f>
        <v>21861.9</v>
      </c>
      <c r="I20" s="29">
        <f>23015.5-H20</f>
        <v>1153.5999999999985</v>
      </c>
    </row>
    <row r="21" spans="1:9" ht="30">
      <c r="A21" s="12">
        <v>19</v>
      </c>
      <c r="B21" s="13" t="s">
        <v>43</v>
      </c>
      <c r="C21" s="31">
        <v>24921.9</v>
      </c>
      <c r="D21" s="29">
        <v>34755.57</v>
      </c>
      <c r="E21" s="29">
        <f t="shared" si="1"/>
        <v>9833.669999999998</v>
      </c>
      <c r="F21" s="29">
        <v>847.08</v>
      </c>
      <c r="G21" s="31">
        <f t="shared" si="2"/>
        <v>10680.749999999998</v>
      </c>
      <c r="H21" s="29">
        <f>12353.3+12469.81394</f>
        <v>24823.11394</v>
      </c>
      <c r="I21" s="29">
        <f>17647.571+17856.31394-H21</f>
        <v>10680.771000000004</v>
      </c>
    </row>
    <row r="22" spans="1:9" ht="15">
      <c r="A22" s="12">
        <v>20</v>
      </c>
      <c r="B22" s="13" t="s">
        <v>44</v>
      </c>
      <c r="C22" s="31">
        <v>16877.1</v>
      </c>
      <c r="D22" s="29">
        <v>20760.1</v>
      </c>
      <c r="E22" s="29">
        <f t="shared" si="1"/>
        <v>3883</v>
      </c>
      <c r="F22" s="29">
        <v>3400</v>
      </c>
      <c r="G22" s="31">
        <f t="shared" si="2"/>
        <v>7283</v>
      </c>
      <c r="H22" s="29">
        <f>16877.1</f>
        <v>16877.1</v>
      </c>
      <c r="I22" s="29">
        <f>24160.1-H22</f>
        <v>7283</v>
      </c>
    </row>
    <row r="23" spans="1:9" ht="30">
      <c r="A23" s="12">
        <v>21</v>
      </c>
      <c r="B23" s="13" t="s">
        <v>45</v>
      </c>
      <c r="C23" s="31">
        <v>69021.1</v>
      </c>
      <c r="D23" s="29">
        <v>75436.19</v>
      </c>
      <c r="E23" s="29">
        <f t="shared" si="1"/>
        <v>6415.0899999999965</v>
      </c>
      <c r="F23" s="29"/>
      <c r="G23" s="31">
        <f t="shared" si="2"/>
        <v>6415.0899999999965</v>
      </c>
      <c r="H23" s="29">
        <f>25732.2+21100+22183.9</f>
        <v>69016.1</v>
      </c>
      <c r="I23" s="29">
        <f>27091.79+22210.5+26133.9-H23</f>
        <v>6420.0899999999965</v>
      </c>
    </row>
    <row r="24" spans="1:9" ht="30">
      <c r="A24" s="12">
        <v>22</v>
      </c>
      <c r="B24" s="13" t="s">
        <v>46</v>
      </c>
      <c r="C24" s="31">
        <v>36266.2</v>
      </c>
      <c r="D24" s="29">
        <v>50961</v>
      </c>
      <c r="E24" s="29">
        <f t="shared" si="1"/>
        <v>14694.800000000003</v>
      </c>
      <c r="F24" s="29">
        <v>2165</v>
      </c>
      <c r="G24" s="31">
        <f t="shared" si="2"/>
        <v>16859.800000000003</v>
      </c>
      <c r="H24" s="29">
        <f>11365+20631.2+4270</f>
        <v>36266.2</v>
      </c>
      <c r="I24" s="29">
        <f>20646.9+30455.3+6435-H24</f>
        <v>21271</v>
      </c>
    </row>
    <row r="25" spans="1:9" ht="15">
      <c r="A25" s="12">
        <v>23</v>
      </c>
      <c r="B25" s="13" t="s">
        <v>47</v>
      </c>
      <c r="C25" s="31">
        <v>27717.6</v>
      </c>
      <c r="D25" s="29">
        <v>32480.7</v>
      </c>
      <c r="E25" s="29">
        <f t="shared" si="1"/>
        <v>4763.100000000002</v>
      </c>
      <c r="F25" s="29">
        <v>7115.9</v>
      </c>
      <c r="G25" s="31">
        <f t="shared" si="2"/>
        <v>11879.000000000002</v>
      </c>
      <c r="H25" s="29">
        <f>12152+15565.6</f>
        <v>27717.6</v>
      </c>
      <c r="I25" s="29">
        <f>17359.84+22236.6-H25</f>
        <v>11878.840000000004</v>
      </c>
    </row>
    <row r="26" spans="1:9" ht="15">
      <c r="A26" s="12">
        <v>24</v>
      </c>
      <c r="B26" s="13" t="s">
        <v>48</v>
      </c>
      <c r="C26" s="31">
        <v>32191.8</v>
      </c>
      <c r="D26" s="29">
        <v>47021.32</v>
      </c>
      <c r="E26" s="29">
        <f t="shared" si="1"/>
        <v>14829.52</v>
      </c>
      <c r="F26" s="29">
        <v>2295</v>
      </c>
      <c r="G26" s="31">
        <f t="shared" si="2"/>
        <v>17124.52</v>
      </c>
      <c r="H26" s="29">
        <f>11772.2496+20419.4</f>
        <v>32191.6496</v>
      </c>
      <c r="I26" s="29">
        <f>32191.7496+29170.6-H26</f>
        <v>29170.7</v>
      </c>
    </row>
    <row r="27" spans="1:9" ht="15">
      <c r="A27" s="12">
        <v>25</v>
      </c>
      <c r="B27" s="13" t="s">
        <v>49</v>
      </c>
      <c r="C27" s="31">
        <v>22869.6</v>
      </c>
      <c r="D27" s="29">
        <v>25621.85</v>
      </c>
      <c r="E27" s="29">
        <f t="shared" si="1"/>
        <v>2752.25</v>
      </c>
      <c r="F27" s="29">
        <v>908.4</v>
      </c>
      <c r="G27" s="31">
        <f t="shared" si="2"/>
        <v>3660.65</v>
      </c>
      <c r="H27" s="29">
        <f>2564.9+17259.6+3045.1</f>
        <v>22869.6</v>
      </c>
      <c r="I27" s="29">
        <f>5353.5077+18455.73+3625.1-H27</f>
        <v>4564.737699999998</v>
      </c>
    </row>
    <row r="28" spans="1:9" ht="15">
      <c r="A28" s="12">
        <v>26</v>
      </c>
      <c r="B28" s="13" t="s">
        <v>50</v>
      </c>
      <c r="C28" s="31">
        <v>69716.3</v>
      </c>
      <c r="D28" s="29">
        <v>107656</v>
      </c>
      <c r="E28" s="29">
        <f t="shared" si="1"/>
        <v>37939.7</v>
      </c>
      <c r="F28" s="29">
        <v>6351.9</v>
      </c>
      <c r="G28" s="31">
        <f t="shared" si="2"/>
        <v>44291.6</v>
      </c>
      <c r="H28" s="29">
        <f>42555.7+17603.2+7700</f>
        <v>67858.9</v>
      </c>
      <c r="I28" s="29">
        <f>83673.8+28278.2+11000-H28</f>
        <v>55093.100000000006</v>
      </c>
    </row>
    <row r="29" spans="1:9" ht="15">
      <c r="A29" s="12">
        <v>27</v>
      </c>
      <c r="B29" s="13" t="s">
        <v>51</v>
      </c>
      <c r="C29" s="31">
        <v>37188.6</v>
      </c>
      <c r="D29" s="29">
        <v>66675.5</v>
      </c>
      <c r="E29" s="29">
        <f t="shared" si="1"/>
        <v>29486.9</v>
      </c>
      <c r="F29" s="29"/>
      <c r="G29" s="31">
        <f t="shared" si="2"/>
        <v>29486.9</v>
      </c>
      <c r="H29" s="29">
        <f>11864.2+16251.8+3010</f>
        <v>31126</v>
      </c>
      <c r="I29" s="29">
        <f>32144.9+24090.4+4300-H29</f>
        <v>29409.300000000003</v>
      </c>
    </row>
    <row r="30" spans="1:9" ht="15">
      <c r="A30" s="12">
        <v>28</v>
      </c>
      <c r="B30" s="13" t="s">
        <v>52</v>
      </c>
      <c r="C30" s="31">
        <v>38706.8</v>
      </c>
      <c r="D30" s="29">
        <v>54734.4</v>
      </c>
      <c r="E30" s="29">
        <f t="shared" si="1"/>
        <v>16027.599999999999</v>
      </c>
      <c r="F30" s="29">
        <v>13175.156</v>
      </c>
      <c r="G30" s="31">
        <f t="shared" si="2"/>
        <v>29202.756</v>
      </c>
      <c r="H30" s="29">
        <f>23284.8+15421.99033</f>
        <v>38706.79033</v>
      </c>
      <c r="I30" s="29">
        <f>46334.01472+22031.39033-H30</f>
        <v>29658.614719999998</v>
      </c>
    </row>
    <row r="31" spans="1:9" ht="15">
      <c r="A31" s="12">
        <v>29</v>
      </c>
      <c r="B31" s="14" t="s">
        <v>53</v>
      </c>
      <c r="C31" s="31">
        <v>40242.1</v>
      </c>
      <c r="D31" s="29">
        <v>46324.8</v>
      </c>
      <c r="E31" s="29">
        <f t="shared" si="1"/>
        <v>6082.700000000004</v>
      </c>
      <c r="F31" s="29">
        <v>7663.06</v>
      </c>
      <c r="G31" s="31">
        <f t="shared" si="2"/>
        <v>13745.760000000006</v>
      </c>
      <c r="H31" s="29">
        <f>17931.58+22090.9</f>
        <v>40022.48</v>
      </c>
      <c r="I31" s="29">
        <f>30149.08+23253.6-H31</f>
        <v>13380.199999999997</v>
      </c>
    </row>
    <row r="32" spans="1:9" ht="15">
      <c r="A32" s="12">
        <v>30</v>
      </c>
      <c r="B32" s="13" t="s">
        <v>54</v>
      </c>
      <c r="C32" s="31">
        <v>52304.5</v>
      </c>
      <c r="D32" s="29">
        <v>67074.5</v>
      </c>
      <c r="E32" s="29">
        <f t="shared" si="1"/>
        <v>14770</v>
      </c>
      <c r="F32" s="29">
        <v>7646.19</v>
      </c>
      <c r="G32" s="31">
        <f t="shared" si="2"/>
        <v>22416.19</v>
      </c>
      <c r="H32" s="29">
        <f>31484.32+20661.7+116.7</f>
        <v>52262.72</v>
      </c>
      <c r="I32" s="29">
        <f>37349.32+29516.7+166.7-H32</f>
        <v>14770</v>
      </c>
    </row>
    <row r="33" spans="1:9" ht="15">
      <c r="A33" s="12">
        <v>31</v>
      </c>
      <c r="B33" s="14" t="s">
        <v>55</v>
      </c>
      <c r="C33" s="31">
        <v>38941.1</v>
      </c>
      <c r="D33" s="29">
        <v>41741.7</v>
      </c>
      <c r="E33" s="29">
        <f t="shared" si="1"/>
        <v>2800.5999999999985</v>
      </c>
      <c r="F33" s="29">
        <v>200</v>
      </c>
      <c r="G33" s="31">
        <f t="shared" si="2"/>
        <v>3000.5999999999985</v>
      </c>
      <c r="H33" s="29">
        <f>11830.21+26644.1+466.7</f>
        <v>38941.009999999995</v>
      </c>
      <c r="I33" s="29">
        <f>13587.39+28046.4+491.3-H33</f>
        <v>3184.080000000009</v>
      </c>
    </row>
    <row r="34" spans="1:9" ht="15">
      <c r="A34" s="12">
        <v>32</v>
      </c>
      <c r="B34" s="14" t="s">
        <v>56</v>
      </c>
      <c r="C34" s="31">
        <v>31853.3</v>
      </c>
      <c r="D34" s="29">
        <v>33563.69</v>
      </c>
      <c r="E34" s="29">
        <f t="shared" si="1"/>
        <v>1710.390000000003</v>
      </c>
      <c r="F34" s="29"/>
      <c r="G34" s="31">
        <f t="shared" si="2"/>
        <v>1710.390000000003</v>
      </c>
      <c r="H34" s="29">
        <f>11137.14214+21151.4</f>
        <v>32288.54214</v>
      </c>
      <c r="I34" s="29">
        <f>13284.45928-11137.14214+24797-21151.4</f>
        <v>5792.917139999998</v>
      </c>
    </row>
    <row r="35" spans="1:9" ht="30">
      <c r="A35" s="12">
        <v>33</v>
      </c>
      <c r="B35" s="13" t="s">
        <v>57</v>
      </c>
      <c r="C35" s="31">
        <v>38830.5</v>
      </c>
      <c r="D35" s="29">
        <v>59082.8</v>
      </c>
      <c r="E35" s="29">
        <f t="shared" si="1"/>
        <v>20252.300000000003</v>
      </c>
      <c r="F35" s="29">
        <v>220</v>
      </c>
      <c r="G35" s="31">
        <f t="shared" si="2"/>
        <v>20472.300000000003</v>
      </c>
      <c r="H35" s="29">
        <f>12239+14899.5+11666.7</f>
        <v>38805.2</v>
      </c>
      <c r="I35" s="29">
        <f>20968.2+21505+16666.7-H35</f>
        <v>20334.699999999997</v>
      </c>
    </row>
    <row r="36" spans="1:9" ht="15">
      <c r="A36" s="12">
        <v>34</v>
      </c>
      <c r="B36" s="13" t="s">
        <v>58</v>
      </c>
      <c r="C36" s="31">
        <v>46611.4</v>
      </c>
      <c r="D36" s="29">
        <v>60861.4</v>
      </c>
      <c r="E36" s="29">
        <f t="shared" si="1"/>
        <v>14250</v>
      </c>
      <c r="F36" s="29">
        <v>6218</v>
      </c>
      <c r="G36" s="31">
        <f t="shared" si="2"/>
        <v>20468</v>
      </c>
      <c r="H36" s="29">
        <f>23964.1+15647.2999+7000</f>
        <v>46611.3999</v>
      </c>
      <c r="I36" s="29">
        <f>34726.1+22353.2999+10000-H36</f>
        <v>20468.000000000007</v>
      </c>
    </row>
    <row r="37" spans="1:9" ht="15">
      <c r="A37" s="12">
        <v>35</v>
      </c>
      <c r="B37" s="13" t="s">
        <v>59</v>
      </c>
      <c r="C37" s="31">
        <v>15658.9</v>
      </c>
      <c r="D37" s="29">
        <v>22369.9</v>
      </c>
      <c r="E37" s="29">
        <f t="shared" si="1"/>
        <v>6711.000000000002</v>
      </c>
      <c r="F37" s="29">
        <v>505.24</v>
      </c>
      <c r="G37" s="31">
        <f t="shared" si="2"/>
        <v>7216.240000000002</v>
      </c>
      <c r="H37" s="29">
        <f>15658.9</f>
        <v>15658.9</v>
      </c>
      <c r="I37" s="29">
        <f>22369.9-H37+505.24</f>
        <v>7216.240000000002</v>
      </c>
    </row>
    <row r="38" spans="1:9" ht="30">
      <c r="A38" s="12">
        <v>36</v>
      </c>
      <c r="B38" s="13" t="s">
        <v>60</v>
      </c>
      <c r="C38" s="31">
        <v>19621.3</v>
      </c>
      <c r="D38" s="29">
        <v>28030.4</v>
      </c>
      <c r="E38" s="29">
        <f t="shared" si="1"/>
        <v>8409.100000000002</v>
      </c>
      <c r="F38" s="29">
        <v>526.4</v>
      </c>
      <c r="G38" s="31">
        <f t="shared" si="2"/>
        <v>8935.500000000002</v>
      </c>
      <c r="H38" s="29">
        <f>18921.3+700</f>
        <v>19621.3</v>
      </c>
      <c r="I38" s="29">
        <f>27556.8+1000-H38</f>
        <v>8935.5</v>
      </c>
    </row>
    <row r="39" spans="1:9" ht="30">
      <c r="A39" s="12">
        <v>37</v>
      </c>
      <c r="B39" s="13" t="s">
        <v>61</v>
      </c>
      <c r="C39" s="31">
        <v>43238.8</v>
      </c>
      <c r="D39" s="29">
        <v>116396.4</v>
      </c>
      <c r="E39" s="29">
        <f t="shared" si="1"/>
        <v>73157.59999999999</v>
      </c>
      <c r="F39" s="29">
        <v>12559.3</v>
      </c>
      <c r="G39" s="31">
        <f t="shared" si="2"/>
        <v>85716.9</v>
      </c>
      <c r="H39" s="29">
        <f>22205.00655+19856.4+1166.7</f>
        <v>43228.10655</v>
      </c>
      <c r="I39" s="29">
        <f>91405.58115+29428.8+1666.7-H39</f>
        <v>79272.9746</v>
      </c>
    </row>
    <row r="40" spans="1:9" ht="15">
      <c r="A40" s="12">
        <v>38</v>
      </c>
      <c r="B40" s="13" t="s">
        <v>62</v>
      </c>
      <c r="C40" s="31">
        <v>22847.8</v>
      </c>
      <c r="D40" s="29">
        <v>30426.8</v>
      </c>
      <c r="E40" s="29">
        <f t="shared" si="1"/>
        <v>7579</v>
      </c>
      <c r="F40" s="29">
        <v>7094.2</v>
      </c>
      <c r="G40" s="31">
        <f t="shared" si="2"/>
        <v>14673.2</v>
      </c>
      <c r="H40" s="29">
        <f>12406.1+10436.2</f>
        <v>22842.300000000003</v>
      </c>
      <c r="I40" s="29">
        <f>22604.5+14908.9-H40</f>
        <v>14671.099999999999</v>
      </c>
    </row>
    <row r="41" spans="1:9" ht="15">
      <c r="A41" s="12">
        <v>39</v>
      </c>
      <c r="B41" s="13" t="s">
        <v>63</v>
      </c>
      <c r="C41" s="31">
        <v>46661.6</v>
      </c>
      <c r="D41" s="29">
        <v>66659.5</v>
      </c>
      <c r="E41" s="29">
        <f t="shared" si="1"/>
        <v>19997.9</v>
      </c>
      <c r="F41" s="29"/>
      <c r="G41" s="31">
        <f t="shared" si="2"/>
        <v>19997.9</v>
      </c>
      <c r="H41" s="29">
        <v>46660</v>
      </c>
      <c r="I41" s="29">
        <f>70496.4-H41</f>
        <v>23836.399999999994</v>
      </c>
    </row>
    <row r="42" spans="1:9" ht="15">
      <c r="A42" s="12">
        <v>40</v>
      </c>
      <c r="B42" s="13" t="s">
        <v>64</v>
      </c>
      <c r="C42" s="31">
        <v>38275.1</v>
      </c>
      <c r="D42" s="29">
        <v>50636</v>
      </c>
      <c r="E42" s="29">
        <f t="shared" si="1"/>
        <v>12360.900000000001</v>
      </c>
      <c r="F42" s="29">
        <v>4519.1</v>
      </c>
      <c r="G42" s="31">
        <f t="shared" si="2"/>
        <v>16880</v>
      </c>
      <c r="H42" s="29">
        <f>24042.92+14218.5</f>
        <v>38261.42</v>
      </c>
      <c r="I42" s="29">
        <f>34254.99+21112.24-H42</f>
        <v>17105.809999999998</v>
      </c>
    </row>
    <row r="43" spans="1:9" ht="30">
      <c r="A43" s="12">
        <v>41</v>
      </c>
      <c r="B43" s="13" t="s">
        <v>65</v>
      </c>
      <c r="C43" s="31">
        <v>14636.7</v>
      </c>
      <c r="D43" s="29">
        <v>45649.59</v>
      </c>
      <c r="E43" s="29">
        <f t="shared" si="1"/>
        <v>31012.889999999996</v>
      </c>
      <c r="F43" s="29">
        <v>5274.55</v>
      </c>
      <c r="G43" s="31">
        <f t="shared" si="2"/>
        <v>36287.439999999995</v>
      </c>
      <c r="H43" s="29">
        <f>7664.612+6065.3+466.7</f>
        <v>14196.612000000001</v>
      </c>
      <c r="I43" s="29">
        <f>32766.89199+8664.7+666.7-H43</f>
        <v>27901.679989999997</v>
      </c>
    </row>
    <row r="44" spans="1:9" ht="15">
      <c r="A44" s="12">
        <v>42</v>
      </c>
      <c r="B44" s="13" t="s">
        <v>66</v>
      </c>
      <c r="C44" s="31">
        <v>19006.4</v>
      </c>
      <c r="D44" s="29">
        <v>27152</v>
      </c>
      <c r="E44" s="29">
        <f t="shared" si="1"/>
        <v>8145.5999999999985</v>
      </c>
      <c r="F44" s="29"/>
      <c r="G44" s="31">
        <f t="shared" si="2"/>
        <v>8145.5999999999985</v>
      </c>
      <c r="H44" s="29">
        <f>6863.55433+10413.31307+1166.7</f>
        <v>18443.5674</v>
      </c>
      <c r="I44" s="29">
        <f>9805.07776+14875.85207+1666.7-H44</f>
        <v>7904.062430000002</v>
      </c>
    </row>
    <row r="45" spans="1:9" ht="15">
      <c r="A45" s="12">
        <v>43</v>
      </c>
      <c r="B45" s="13" t="s">
        <v>67</v>
      </c>
      <c r="C45" s="31">
        <v>44825.3</v>
      </c>
      <c r="D45" s="29">
        <v>62299.3</v>
      </c>
      <c r="E45" s="29">
        <f t="shared" si="1"/>
        <v>17474</v>
      </c>
      <c r="F45" s="29">
        <v>2552.4</v>
      </c>
      <c r="G45" s="31">
        <f t="shared" si="2"/>
        <v>20026.4</v>
      </c>
      <c r="H45" s="29">
        <f>27693.8+17129.2</f>
        <v>44823</v>
      </c>
      <c r="I45" s="29">
        <f>39493.7+25285.8-H45</f>
        <v>19956.5</v>
      </c>
    </row>
    <row r="46" spans="1:9" ht="15">
      <c r="A46" s="12">
        <v>44</v>
      </c>
      <c r="B46" s="13" t="s">
        <v>68</v>
      </c>
      <c r="C46" s="31">
        <v>27973.4</v>
      </c>
      <c r="D46" s="29">
        <v>41837.2</v>
      </c>
      <c r="E46" s="29">
        <f t="shared" si="1"/>
        <v>13863.799999999996</v>
      </c>
      <c r="F46" s="29">
        <v>62</v>
      </c>
      <c r="G46" s="31">
        <f t="shared" si="2"/>
        <v>13925.799999999996</v>
      </c>
      <c r="H46" s="29">
        <f>17969.1+10004.3</f>
        <v>27973.399999999998</v>
      </c>
      <c r="I46" s="29">
        <f>27310.3+14588.9-H46</f>
        <v>13925.8</v>
      </c>
    </row>
    <row r="47" spans="1:9" ht="15">
      <c r="A47" s="12">
        <v>45</v>
      </c>
      <c r="B47" s="13" t="s">
        <v>69</v>
      </c>
      <c r="C47" s="31">
        <v>32115.5</v>
      </c>
      <c r="D47" s="29">
        <v>37258.7</v>
      </c>
      <c r="E47" s="29">
        <f t="shared" si="1"/>
        <v>5143.199999999997</v>
      </c>
      <c r="F47" s="29">
        <v>8620.9</v>
      </c>
      <c r="G47" s="31">
        <f t="shared" si="2"/>
        <v>13764.099999999997</v>
      </c>
      <c r="H47" s="29">
        <f>9143.6+22971.8</f>
        <v>32115.4</v>
      </c>
      <c r="I47" s="29">
        <f>13062.4+32808.8-H47</f>
        <v>13755.800000000003</v>
      </c>
    </row>
    <row r="48" spans="1:9" ht="15">
      <c r="A48" s="12">
        <v>46</v>
      </c>
      <c r="B48" s="13" t="s">
        <v>70</v>
      </c>
      <c r="C48" s="31">
        <v>21843.2</v>
      </c>
      <c r="D48" s="29">
        <v>31204.6</v>
      </c>
      <c r="E48" s="29">
        <f t="shared" si="1"/>
        <v>9361.399999999998</v>
      </c>
      <c r="F48" s="29"/>
      <c r="G48" s="31">
        <f t="shared" si="2"/>
        <v>9361.399999999998</v>
      </c>
      <c r="H48" s="29">
        <f>20909.9+933.3</f>
        <v>21843.2</v>
      </c>
      <c r="I48" s="29">
        <f>29871.3+1333.3-H48</f>
        <v>9361.399999999998</v>
      </c>
    </row>
    <row r="49" spans="1:9" ht="15">
      <c r="A49" s="12">
        <v>47</v>
      </c>
      <c r="B49" s="13" t="s">
        <v>71</v>
      </c>
      <c r="C49" s="31">
        <v>30606.7</v>
      </c>
      <c r="D49" s="29">
        <v>47339.45</v>
      </c>
      <c r="E49" s="29">
        <f t="shared" si="1"/>
        <v>16732.749999999996</v>
      </c>
      <c r="F49" s="29"/>
      <c r="G49" s="31">
        <f t="shared" si="2"/>
        <v>16732.749999999996</v>
      </c>
      <c r="H49" s="29">
        <f>13447.65636+16900.39999</f>
        <v>30348.056350000003</v>
      </c>
      <c r="I49" s="29">
        <f>21476.16364+24141.92084-H49</f>
        <v>15270.028129999995</v>
      </c>
    </row>
    <row r="50" spans="1:9" ht="30">
      <c r="A50" s="12">
        <v>48</v>
      </c>
      <c r="B50" s="13" t="s">
        <v>72</v>
      </c>
      <c r="C50" s="31">
        <v>19598.9</v>
      </c>
      <c r="D50" s="29">
        <v>38747.26</v>
      </c>
      <c r="E50" s="29">
        <f t="shared" si="1"/>
        <v>19148.36</v>
      </c>
      <c r="F50" s="29">
        <v>5620.79</v>
      </c>
      <c r="G50" s="31">
        <f t="shared" si="2"/>
        <v>24769.15</v>
      </c>
      <c r="H50" s="29">
        <f>10381.82888+9203.4</f>
        <v>19585.22888</v>
      </c>
      <c r="I50" s="29">
        <f>24221.34238+52021.6035-H50</f>
        <v>56657.717000000004</v>
      </c>
    </row>
    <row r="51" spans="1:9" ht="15">
      <c r="A51" s="12">
        <v>49</v>
      </c>
      <c r="B51" s="13" t="s">
        <v>73</v>
      </c>
      <c r="C51" s="31">
        <v>28037.8</v>
      </c>
      <c r="D51" s="29">
        <v>56772.4</v>
      </c>
      <c r="E51" s="29">
        <f t="shared" si="1"/>
        <v>28734.600000000002</v>
      </c>
      <c r="F51" s="29">
        <v>2137</v>
      </c>
      <c r="G51" s="31">
        <f t="shared" si="2"/>
        <v>30871.600000000002</v>
      </c>
      <c r="H51" s="29">
        <f>13116.298+13228.2+1633.3</f>
        <v>27977.798</v>
      </c>
      <c r="I51" s="29">
        <f>21592.10797+34888.92574+2343.3-H51</f>
        <v>30846.535710000007</v>
      </c>
    </row>
    <row r="52" spans="1:9" ht="15">
      <c r="A52" s="12">
        <v>50</v>
      </c>
      <c r="B52" s="14" t="s">
        <v>74</v>
      </c>
      <c r="C52" s="31">
        <v>18142.6</v>
      </c>
      <c r="D52" s="29">
        <v>22659</v>
      </c>
      <c r="E52" s="29">
        <f t="shared" si="1"/>
        <v>4516.4000000000015</v>
      </c>
      <c r="F52" s="29">
        <v>440.54</v>
      </c>
      <c r="G52" s="31">
        <f t="shared" si="2"/>
        <v>4956.940000000001</v>
      </c>
      <c r="H52" s="29">
        <f>931.8+17210.8</f>
        <v>18142.6</v>
      </c>
      <c r="I52" s="29">
        <f>4879.8+18132.7-H52</f>
        <v>4869.9000000000015</v>
      </c>
    </row>
    <row r="53" spans="1:9" ht="15">
      <c r="A53" s="12">
        <v>51</v>
      </c>
      <c r="B53" s="13" t="s">
        <v>75</v>
      </c>
      <c r="C53" s="31">
        <v>46427.8</v>
      </c>
      <c r="D53" s="29">
        <v>68153.8</v>
      </c>
      <c r="E53" s="29">
        <f t="shared" si="1"/>
        <v>21726</v>
      </c>
      <c r="F53" s="29"/>
      <c r="G53" s="31">
        <f t="shared" si="2"/>
        <v>21726</v>
      </c>
      <c r="H53" s="29">
        <f>31603.2+14027</f>
        <v>45630.2</v>
      </c>
      <c r="I53" s="29">
        <f>46314+21867-H53</f>
        <v>22550.800000000003</v>
      </c>
    </row>
    <row r="54" spans="1:9" ht="15">
      <c r="A54" s="12">
        <v>52</v>
      </c>
      <c r="B54" s="13" t="s">
        <v>76</v>
      </c>
      <c r="C54" s="31">
        <v>19077.1</v>
      </c>
      <c r="D54" s="29">
        <v>34790.7</v>
      </c>
      <c r="E54" s="29">
        <f t="shared" si="1"/>
        <v>15713.599999999999</v>
      </c>
      <c r="F54" s="29">
        <v>9260.3</v>
      </c>
      <c r="G54" s="31">
        <f t="shared" si="2"/>
        <v>24973.899999999998</v>
      </c>
      <c r="H54" s="29">
        <f>3044+14283.1+1750</f>
        <v>19077.1</v>
      </c>
      <c r="I54" s="29">
        <f>20355.57232+20404.4+2500-H54</f>
        <v>24182.872320000002</v>
      </c>
    </row>
    <row r="55" spans="1:9" ht="30">
      <c r="A55" s="12">
        <v>53</v>
      </c>
      <c r="B55" s="13" t="s">
        <v>77</v>
      </c>
      <c r="C55" s="31">
        <v>36215.2</v>
      </c>
      <c r="D55" s="29">
        <v>44437.8</v>
      </c>
      <c r="E55" s="29">
        <f t="shared" si="1"/>
        <v>8222.600000000006</v>
      </c>
      <c r="F55" s="29">
        <v>12970.4</v>
      </c>
      <c r="G55" s="31">
        <f t="shared" si="2"/>
        <v>21193.000000000007</v>
      </c>
      <c r="H55" s="29">
        <f>19185.44494+17029.1</f>
        <v>36214.54494</v>
      </c>
      <c r="I55" s="29">
        <f>32847.53092+24327.3-H55</f>
        <v>20960.285979999993</v>
      </c>
    </row>
    <row r="56" spans="1:9" ht="15">
      <c r="A56" s="12">
        <v>54</v>
      </c>
      <c r="B56" s="13" t="s">
        <v>78</v>
      </c>
      <c r="C56" s="31">
        <v>9868.2</v>
      </c>
      <c r="D56" s="29">
        <v>12969.4</v>
      </c>
      <c r="E56" s="29">
        <f t="shared" si="1"/>
        <v>3101.199999999999</v>
      </c>
      <c r="F56" s="29"/>
      <c r="G56" s="31">
        <f t="shared" si="2"/>
        <v>3101.199999999999</v>
      </c>
      <c r="H56" s="29">
        <f>9868.2</f>
        <v>9868.2</v>
      </c>
      <c r="I56" s="29">
        <f>14097.4-H56</f>
        <v>4229.199999999999</v>
      </c>
    </row>
    <row r="57" spans="1:9" ht="30">
      <c r="A57" s="12">
        <v>55</v>
      </c>
      <c r="B57" s="13" t="s">
        <v>79</v>
      </c>
      <c r="C57" s="31">
        <v>33290.5</v>
      </c>
      <c r="D57" s="29">
        <v>58314.5</v>
      </c>
      <c r="E57" s="29">
        <f t="shared" si="1"/>
        <v>25024</v>
      </c>
      <c r="F57" s="29"/>
      <c r="G57" s="31">
        <f t="shared" si="2"/>
        <v>25024</v>
      </c>
      <c r="H57" s="29">
        <f>19633.5995+7823.6+5833.3</f>
        <v>33290.499500000005</v>
      </c>
      <c r="I57" s="29">
        <f>38804.5335+11176.46102+8333.3-H57</f>
        <v>25023.79501999999</v>
      </c>
    </row>
    <row r="58" spans="1:9" ht="15">
      <c r="A58" s="12">
        <v>56</v>
      </c>
      <c r="B58" s="13" t="s">
        <v>80</v>
      </c>
      <c r="C58" s="31">
        <v>16798.9</v>
      </c>
      <c r="D58" s="29">
        <v>28664.88</v>
      </c>
      <c r="E58" s="29">
        <f t="shared" si="1"/>
        <v>11865.98</v>
      </c>
      <c r="F58" s="29"/>
      <c r="G58" s="31">
        <f t="shared" si="2"/>
        <v>11865.98</v>
      </c>
      <c r="H58" s="29">
        <f>15590.26065+1166.7</f>
        <v>16756.96065</v>
      </c>
      <c r="I58" s="29">
        <f>27172.34309+1666.7-H58</f>
        <v>12082.082439999998</v>
      </c>
    </row>
    <row r="59" spans="1:9" ht="15">
      <c r="A59" s="12">
        <v>57</v>
      </c>
      <c r="B59" s="13" t="s">
        <v>81</v>
      </c>
      <c r="C59" s="31">
        <v>38789.9</v>
      </c>
      <c r="D59" s="29">
        <v>64830.4</v>
      </c>
      <c r="E59" s="29">
        <f t="shared" si="1"/>
        <v>26040.5</v>
      </c>
      <c r="F59" s="29"/>
      <c r="G59" s="31">
        <f t="shared" si="2"/>
        <v>26040.5</v>
      </c>
      <c r="H59" s="29">
        <f>22708.82512+16000.49527</f>
        <v>38709.32039</v>
      </c>
      <c r="I59" s="29">
        <f>41288.80294+22892.29527-H59</f>
        <v>25471.777819999996</v>
      </c>
    </row>
    <row r="60" spans="1:9" ht="15">
      <c r="A60" s="12">
        <v>58</v>
      </c>
      <c r="B60" s="13" t="s">
        <v>82</v>
      </c>
      <c r="C60" s="31">
        <v>19162.4</v>
      </c>
      <c r="D60" s="29">
        <v>27670.1</v>
      </c>
      <c r="E60" s="29">
        <f t="shared" si="1"/>
        <v>8507.699999999997</v>
      </c>
      <c r="F60" s="29">
        <v>873.745</v>
      </c>
      <c r="G60" s="31">
        <f t="shared" si="2"/>
        <v>9381.444999999998</v>
      </c>
      <c r="H60" s="29">
        <f>17972.4+1189.92</f>
        <v>19162.32</v>
      </c>
      <c r="I60" s="29">
        <f>25674.9+1995.067-H60</f>
        <v>8507.647</v>
      </c>
    </row>
    <row r="61" spans="1:9" ht="15">
      <c r="A61" s="12">
        <v>59</v>
      </c>
      <c r="B61" s="13" t="s">
        <v>83</v>
      </c>
      <c r="C61" s="31">
        <v>5104.9</v>
      </c>
      <c r="D61" s="29">
        <v>7292.7</v>
      </c>
      <c r="E61" s="29">
        <f t="shared" si="1"/>
        <v>2187.8</v>
      </c>
      <c r="F61" s="29"/>
      <c r="G61" s="31">
        <f t="shared" si="2"/>
        <v>2187.8</v>
      </c>
      <c r="H61" s="29">
        <f>5104.9</f>
        <v>5104.9</v>
      </c>
      <c r="I61" s="29">
        <f>7292.7-H61</f>
        <v>2187.8</v>
      </c>
    </row>
    <row r="62" spans="1:9" ht="15">
      <c r="A62" s="12">
        <v>60</v>
      </c>
      <c r="B62" s="13" t="s">
        <v>84</v>
      </c>
      <c r="C62" s="31">
        <v>12011.5</v>
      </c>
      <c r="D62" s="29">
        <v>16409.3</v>
      </c>
      <c r="E62" s="29">
        <f t="shared" si="1"/>
        <v>4397.799999999999</v>
      </c>
      <c r="F62" s="29">
        <v>750</v>
      </c>
      <c r="G62" s="31">
        <f t="shared" si="2"/>
        <v>5147.799999999999</v>
      </c>
      <c r="H62" s="29">
        <f>7008.6317+5002.2</f>
        <v>12010.831699999999</v>
      </c>
      <c r="I62" s="29">
        <f>12616.65323+6002.2-H62</f>
        <v>6608.021530000002</v>
      </c>
    </row>
    <row r="63" spans="1:9" ht="15">
      <c r="A63" s="12">
        <v>61</v>
      </c>
      <c r="B63" s="13" t="s">
        <v>85</v>
      </c>
      <c r="C63" s="31">
        <v>66419.2</v>
      </c>
      <c r="D63" s="29">
        <v>76166.9</v>
      </c>
      <c r="E63" s="29">
        <f t="shared" si="1"/>
        <v>9747.699999999997</v>
      </c>
      <c r="F63" s="29">
        <v>18717.7</v>
      </c>
      <c r="G63" s="31">
        <f t="shared" si="2"/>
        <v>28465.399999999998</v>
      </c>
      <c r="H63" s="29">
        <f>42065+22620.9+280</f>
        <v>64965.9</v>
      </c>
      <c r="I63" s="29">
        <f>59827.6+32384.7+400-H63</f>
        <v>27646.4</v>
      </c>
    </row>
    <row r="64" spans="1:9" ht="15">
      <c r="A64" s="12">
        <v>62</v>
      </c>
      <c r="B64" s="13" t="s">
        <v>86</v>
      </c>
      <c r="C64" s="31">
        <v>26977.5</v>
      </c>
      <c r="D64" s="29">
        <v>44008.89</v>
      </c>
      <c r="E64" s="29">
        <f t="shared" si="1"/>
        <v>17031.39</v>
      </c>
      <c r="F64" s="29">
        <v>2820.9</v>
      </c>
      <c r="G64" s="31">
        <f t="shared" si="2"/>
        <v>19852.29</v>
      </c>
      <c r="H64" s="29">
        <f>9785+17192.5</f>
        <v>26977.5</v>
      </c>
      <c r="I64" s="29">
        <f>14178.9+32650.89-H64</f>
        <v>19852.29</v>
      </c>
    </row>
    <row r="65" spans="1:9" ht="15">
      <c r="A65" s="12">
        <v>63</v>
      </c>
      <c r="B65" s="13" t="s">
        <v>87</v>
      </c>
      <c r="C65" s="31">
        <v>28664.3</v>
      </c>
      <c r="D65" s="29">
        <v>40949.02</v>
      </c>
      <c r="E65" s="29">
        <f t="shared" si="1"/>
        <v>12284.719999999998</v>
      </c>
      <c r="F65" s="29">
        <v>5979.65</v>
      </c>
      <c r="G65" s="31">
        <f t="shared" si="2"/>
        <v>18264.369999999995</v>
      </c>
      <c r="H65" s="29">
        <f>19245.7+9418</f>
        <v>28663.7</v>
      </c>
      <c r="I65" s="29">
        <f>30395.67+16532.4-H65</f>
        <v>18264.37</v>
      </c>
    </row>
    <row r="66" spans="1:9" ht="15">
      <c r="A66" s="12">
        <v>64</v>
      </c>
      <c r="B66" s="13" t="s">
        <v>88</v>
      </c>
      <c r="C66" s="31">
        <v>21189.2</v>
      </c>
      <c r="D66" s="29">
        <v>28976.7</v>
      </c>
      <c r="E66" s="29">
        <f t="shared" si="1"/>
        <v>7787.5</v>
      </c>
      <c r="F66" s="29">
        <v>1293.6</v>
      </c>
      <c r="G66" s="31">
        <f t="shared" si="2"/>
        <v>9081.1</v>
      </c>
      <c r="H66" s="29">
        <f>18109.2+3068.1</f>
        <v>21177.3</v>
      </c>
      <c r="I66" s="29">
        <f>25870.3+4383-H66</f>
        <v>9076</v>
      </c>
    </row>
    <row r="67" spans="1:9" ht="15">
      <c r="A67" s="12">
        <v>65</v>
      </c>
      <c r="B67" s="13" t="s">
        <v>89</v>
      </c>
      <c r="C67" s="31">
        <v>13154.5</v>
      </c>
      <c r="D67" s="29">
        <v>76204.4</v>
      </c>
      <c r="E67" s="29">
        <f aca="true" t="shared" si="3" ref="E67:E83">D67-C67</f>
        <v>63049.899999999994</v>
      </c>
      <c r="F67" s="29"/>
      <c r="G67" s="31">
        <f t="shared" si="2"/>
        <v>63049.899999999994</v>
      </c>
      <c r="H67" s="29">
        <f>2003.8+11140.6</f>
        <v>13144.4</v>
      </c>
      <c r="I67" s="29">
        <f>41579.1+11727.5-H67</f>
        <v>40162.2</v>
      </c>
    </row>
    <row r="68" spans="1:9" ht="15">
      <c r="A68" s="12">
        <v>66</v>
      </c>
      <c r="B68" s="13" t="s">
        <v>90</v>
      </c>
      <c r="C68" s="31">
        <v>41166.1</v>
      </c>
      <c r="D68" s="29">
        <v>123005.7</v>
      </c>
      <c r="E68" s="29">
        <f t="shared" si="3"/>
        <v>81839.6</v>
      </c>
      <c r="F68" s="29">
        <v>10260</v>
      </c>
      <c r="G68" s="31">
        <f aca="true" t="shared" si="4" ref="G68:G83">E68+F68</f>
        <v>92099.6</v>
      </c>
      <c r="H68" s="29">
        <f>25302.9+12811.4+3033.3</f>
        <v>41147.600000000006</v>
      </c>
      <c r="I68" s="29">
        <f>99259+28162+4333.3-H68</f>
        <v>90606.69999999998</v>
      </c>
    </row>
    <row r="69" spans="1:9" ht="15">
      <c r="A69" s="12">
        <v>67</v>
      </c>
      <c r="B69" s="13" t="s">
        <v>91</v>
      </c>
      <c r="C69" s="31">
        <v>28433</v>
      </c>
      <c r="D69" s="29">
        <v>48874.4</v>
      </c>
      <c r="E69" s="29">
        <f t="shared" si="3"/>
        <v>20441.4</v>
      </c>
      <c r="F69" s="29">
        <v>900</v>
      </c>
      <c r="G69" s="31">
        <f t="shared" si="4"/>
        <v>21341.4</v>
      </c>
      <c r="H69" s="29">
        <f>9735.2+15562.3+3135.5</f>
        <v>28433</v>
      </c>
      <c r="I69" s="29">
        <f>19647.7+25647.4+4479.3-H69</f>
        <v>21341.40000000001</v>
      </c>
    </row>
    <row r="70" spans="1:9" ht="15">
      <c r="A70" s="12">
        <v>68</v>
      </c>
      <c r="B70" s="13" t="s">
        <v>92</v>
      </c>
      <c r="C70" s="31">
        <v>38778.2</v>
      </c>
      <c r="D70" s="29">
        <v>55397.5</v>
      </c>
      <c r="E70" s="29">
        <f t="shared" si="3"/>
        <v>16619.300000000003</v>
      </c>
      <c r="F70" s="29">
        <v>100</v>
      </c>
      <c r="G70" s="31">
        <f t="shared" si="4"/>
        <v>16719.300000000003</v>
      </c>
      <c r="H70" s="29">
        <f>16296.8+17814.7+4666.7</f>
        <v>38778.2</v>
      </c>
      <c r="I70" s="29">
        <f>23381.2+25449.6+6666.7-H70</f>
        <v>16719.300000000003</v>
      </c>
    </row>
    <row r="71" spans="1:9" ht="15">
      <c r="A71" s="12">
        <v>69</v>
      </c>
      <c r="B71" s="13" t="s">
        <v>93</v>
      </c>
      <c r="C71" s="31">
        <v>29030.9</v>
      </c>
      <c r="D71" s="29">
        <v>40445.36</v>
      </c>
      <c r="E71" s="29">
        <f t="shared" si="3"/>
        <v>11414.46</v>
      </c>
      <c r="F71" s="29">
        <v>1027.26</v>
      </c>
      <c r="G71" s="31">
        <f t="shared" si="4"/>
        <v>12441.72</v>
      </c>
      <c r="H71" s="29">
        <f>11726.32443+16584.96058+350</f>
        <v>28661.28501</v>
      </c>
      <c r="I71" s="29">
        <f>17070.22265+23929.62955+500-H71</f>
        <v>12838.567190000002</v>
      </c>
    </row>
    <row r="72" spans="1:9" ht="15">
      <c r="A72" s="12">
        <v>70</v>
      </c>
      <c r="B72" s="13" t="s">
        <v>94</v>
      </c>
      <c r="C72" s="31">
        <v>23467.9</v>
      </c>
      <c r="D72" s="29">
        <v>77391.7</v>
      </c>
      <c r="E72" s="29">
        <f t="shared" si="3"/>
        <v>53923.799999999996</v>
      </c>
      <c r="F72" s="29">
        <v>72.8</v>
      </c>
      <c r="G72" s="31">
        <f t="shared" si="4"/>
        <v>53996.6</v>
      </c>
      <c r="H72" s="29">
        <f>6479.06+16983</f>
        <v>23462.06</v>
      </c>
      <c r="I72" s="29">
        <f>52849.22+24334.2-H72</f>
        <v>53721.36</v>
      </c>
    </row>
    <row r="73" spans="1:9" ht="15">
      <c r="A73" s="12">
        <v>71</v>
      </c>
      <c r="B73" s="13" t="s">
        <v>95</v>
      </c>
      <c r="C73" s="31">
        <v>35875.7</v>
      </c>
      <c r="D73" s="29">
        <v>48354.89</v>
      </c>
      <c r="E73" s="29">
        <f t="shared" si="3"/>
        <v>12479.190000000002</v>
      </c>
      <c r="F73" s="29">
        <v>2896.11</v>
      </c>
      <c r="G73" s="31">
        <f t="shared" si="4"/>
        <v>15375.300000000003</v>
      </c>
      <c r="H73" s="29">
        <f>14969.1+11049.6+7000</f>
        <v>33018.7</v>
      </c>
      <c r="I73" s="29">
        <f>21366.3+16671+9980-H73</f>
        <v>14998.600000000006</v>
      </c>
    </row>
    <row r="74" spans="1:9" ht="15">
      <c r="A74" s="12">
        <v>72</v>
      </c>
      <c r="B74" s="13" t="s">
        <v>96</v>
      </c>
      <c r="C74" s="31">
        <v>10403.1</v>
      </c>
      <c r="D74" s="29">
        <v>24951.4</v>
      </c>
      <c r="E74" s="29">
        <f t="shared" si="3"/>
        <v>14548.300000000001</v>
      </c>
      <c r="F74" s="29"/>
      <c r="G74" s="31">
        <f t="shared" si="4"/>
        <v>14548.300000000001</v>
      </c>
      <c r="H74" s="29">
        <f>4510.8+5892.3</f>
        <v>10403.1</v>
      </c>
      <c r="I74" s="29">
        <f>16533.8+8417.6-H74</f>
        <v>14548.300000000001</v>
      </c>
    </row>
    <row r="75" spans="1:9" ht="15">
      <c r="A75" s="12">
        <v>73</v>
      </c>
      <c r="B75" s="13" t="s">
        <v>97</v>
      </c>
      <c r="C75" s="31">
        <v>23546.4</v>
      </c>
      <c r="D75" s="29">
        <v>36074.42</v>
      </c>
      <c r="E75" s="29">
        <f t="shared" si="3"/>
        <v>12528.019999999997</v>
      </c>
      <c r="F75" s="29">
        <v>2890.7</v>
      </c>
      <c r="G75" s="31">
        <f t="shared" si="4"/>
        <v>15418.719999999998</v>
      </c>
      <c r="H75" s="29">
        <f>14216.86+9066.4</f>
        <v>23283.260000000002</v>
      </c>
      <c r="I75" s="29">
        <f>24803.94+12952-H75</f>
        <v>14472.68</v>
      </c>
    </row>
    <row r="76" spans="1:9" ht="15">
      <c r="A76" s="12">
        <v>74</v>
      </c>
      <c r="B76" s="13" t="s">
        <v>98</v>
      </c>
      <c r="C76" s="31">
        <v>33677.6</v>
      </c>
      <c r="D76" s="29">
        <v>49124.9</v>
      </c>
      <c r="E76" s="29">
        <f t="shared" si="3"/>
        <v>15447.300000000003</v>
      </c>
      <c r="F76" s="29">
        <v>1769.9</v>
      </c>
      <c r="G76" s="31">
        <f t="shared" si="4"/>
        <v>17217.200000000004</v>
      </c>
      <c r="H76" s="29">
        <f>17313.25786+2366+13998.3</f>
        <v>33677.55786</v>
      </c>
      <c r="I76" s="29">
        <f>24595.24186+3380+21011.6-H76</f>
        <v>15309.284</v>
      </c>
    </row>
    <row r="77" spans="1:9" ht="15">
      <c r="A77" s="12">
        <v>75</v>
      </c>
      <c r="B77" s="13" t="s">
        <v>99</v>
      </c>
      <c r="C77" s="31">
        <v>17078.2</v>
      </c>
      <c r="D77" s="29">
        <v>27678.2</v>
      </c>
      <c r="E77" s="29">
        <f t="shared" si="3"/>
        <v>10600</v>
      </c>
      <c r="F77" s="29">
        <v>376.024</v>
      </c>
      <c r="G77" s="31">
        <f t="shared" si="4"/>
        <v>10976.024</v>
      </c>
      <c r="H77" s="29"/>
      <c r="I77" s="29"/>
    </row>
    <row r="78" spans="1:9" ht="15">
      <c r="A78" s="12">
        <v>76</v>
      </c>
      <c r="B78" s="17" t="s">
        <v>100</v>
      </c>
      <c r="C78" s="31">
        <v>12443.7</v>
      </c>
      <c r="D78" s="29">
        <v>13098.6</v>
      </c>
      <c r="E78" s="29">
        <f t="shared" si="3"/>
        <v>654.8999999999996</v>
      </c>
      <c r="F78" s="29"/>
      <c r="G78" s="31">
        <f t="shared" si="4"/>
        <v>654.8999999999996</v>
      </c>
      <c r="H78" s="29">
        <f>2065.485+9961.02003</f>
        <v>12026.50503</v>
      </c>
      <c r="I78" s="29">
        <f>2160.085+9961.02003-H78</f>
        <v>94.59999999999854</v>
      </c>
    </row>
    <row r="79" spans="1:9" ht="30">
      <c r="A79" s="12">
        <v>77</v>
      </c>
      <c r="B79" s="14" t="s">
        <v>101</v>
      </c>
      <c r="C79" s="31">
        <v>4556.5</v>
      </c>
      <c r="D79" s="29">
        <v>4809.8</v>
      </c>
      <c r="E79" s="29">
        <f t="shared" si="3"/>
        <v>253.30000000000018</v>
      </c>
      <c r="F79" s="29">
        <v>122.7</v>
      </c>
      <c r="G79" s="31">
        <f t="shared" si="4"/>
        <v>376.00000000000017</v>
      </c>
      <c r="H79" s="29">
        <f>2238.5+2318</f>
        <v>4556.5</v>
      </c>
      <c r="I79" s="29">
        <f>2356.3+2576.2-H79</f>
        <v>376</v>
      </c>
    </row>
    <row r="80" spans="1:9" ht="30">
      <c r="A80" s="12">
        <v>78</v>
      </c>
      <c r="B80" s="14" t="s">
        <v>102</v>
      </c>
      <c r="C80" s="31">
        <v>4756.1</v>
      </c>
      <c r="D80" s="29">
        <v>7141.877</v>
      </c>
      <c r="E80" s="29">
        <f t="shared" si="3"/>
        <v>2385.777</v>
      </c>
      <c r="F80" s="29"/>
      <c r="G80" s="31">
        <f t="shared" si="4"/>
        <v>2385.777</v>
      </c>
      <c r="H80" s="29">
        <f>4756.1</f>
        <v>4756.1</v>
      </c>
      <c r="I80" s="29">
        <f>7141.877-H80</f>
        <v>2385.777</v>
      </c>
    </row>
    <row r="81" spans="1:9" ht="45">
      <c r="A81" s="12">
        <v>79</v>
      </c>
      <c r="B81" s="13" t="s">
        <v>103</v>
      </c>
      <c r="C81" s="31">
        <v>71771.2</v>
      </c>
      <c r="D81" s="29">
        <v>123759.7</v>
      </c>
      <c r="E81" s="29">
        <f t="shared" si="3"/>
        <v>51988.5</v>
      </c>
      <c r="F81" s="29">
        <v>240</v>
      </c>
      <c r="G81" s="31">
        <f t="shared" si="4"/>
        <v>52228.5</v>
      </c>
      <c r="H81" s="29">
        <f>2690.9+8172.5+60907.4</f>
        <v>71770.8</v>
      </c>
      <c r="I81" s="29">
        <f>33016.7+11915+78907.4-H81</f>
        <v>52068.29999999999</v>
      </c>
    </row>
    <row r="82" spans="1:9" ht="30">
      <c r="A82" s="12">
        <v>80</v>
      </c>
      <c r="B82" s="13" t="s">
        <v>104</v>
      </c>
      <c r="C82" s="31">
        <v>12856.3</v>
      </c>
      <c r="D82" s="29">
        <v>13532.9</v>
      </c>
      <c r="E82" s="29">
        <f t="shared" si="3"/>
        <v>676.6000000000004</v>
      </c>
      <c r="F82" s="29"/>
      <c r="G82" s="31">
        <f t="shared" si="4"/>
        <v>676.6000000000004</v>
      </c>
      <c r="H82" s="29">
        <f>12856.3</f>
        <v>12856.3</v>
      </c>
      <c r="I82" s="29">
        <f>13532.8988-H82</f>
        <v>676.5988000000016</v>
      </c>
    </row>
    <row r="83" spans="1:9" ht="30">
      <c r="A83" s="12">
        <v>81</v>
      </c>
      <c r="B83" s="13" t="s">
        <v>105</v>
      </c>
      <c r="C83" s="31">
        <v>4559.5</v>
      </c>
      <c r="D83" s="29">
        <v>6596.1</v>
      </c>
      <c r="E83" s="29">
        <f t="shared" si="3"/>
        <v>2036.6000000000004</v>
      </c>
      <c r="F83" s="29"/>
      <c r="G83" s="31">
        <f t="shared" si="4"/>
        <v>2036.6000000000004</v>
      </c>
      <c r="H83" s="29">
        <f>519+3106.1+475.8</f>
        <v>4100.9</v>
      </c>
      <c r="I83" s="29">
        <f>12115+6753+737.8-H83</f>
        <v>15504.9</v>
      </c>
    </row>
  </sheetData>
  <sheetProtection/>
  <autoFilter ref="A2:I83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C6" sqref="C6"/>
    </sheetView>
  </sheetViews>
  <sheetFormatPr defaultColWidth="9.00390625" defaultRowHeight="12.75"/>
  <cols>
    <col min="2" max="2" width="25.125" style="0" customWidth="1"/>
    <col min="3" max="3" width="14.375" style="0" customWidth="1"/>
    <col min="4" max="4" width="15.625" style="0" customWidth="1"/>
    <col min="5" max="5" width="14.875" style="0" customWidth="1"/>
    <col min="6" max="6" width="13.75390625" style="0" customWidth="1"/>
    <col min="7" max="7" width="11.75390625" style="0" customWidth="1"/>
  </cols>
  <sheetData>
    <row r="1" spans="1:6" ht="45">
      <c r="A1" s="26" t="s">
        <v>22</v>
      </c>
      <c r="B1" s="27" t="s">
        <v>23</v>
      </c>
      <c r="C1" s="27" t="s">
        <v>117</v>
      </c>
      <c r="D1" s="24" t="s">
        <v>129</v>
      </c>
      <c r="E1" s="27" t="s">
        <v>119</v>
      </c>
      <c r="F1" s="27" t="s">
        <v>120</v>
      </c>
    </row>
    <row r="2" spans="1:6" ht="15">
      <c r="A2" s="21"/>
      <c r="B2" s="28" t="s">
        <v>24</v>
      </c>
      <c r="C2" s="25">
        <f>SUM(C3:C83)</f>
        <v>306000.00000000006</v>
      </c>
      <c r="D2" s="37">
        <f>SUM(D3:D83)</f>
        <v>108109.73800000001</v>
      </c>
      <c r="E2" s="37">
        <f>SUM(E3:E83)</f>
        <v>305998.19949</v>
      </c>
      <c r="F2" s="37">
        <f>SUM(F3:F83)</f>
        <v>107567.57703</v>
      </c>
    </row>
    <row r="3" spans="1:6" ht="15">
      <c r="A3" s="22">
        <v>1</v>
      </c>
      <c r="B3" s="15" t="s">
        <v>25</v>
      </c>
      <c r="C3" s="22">
        <v>2742.4</v>
      </c>
      <c r="D3" s="38">
        <v>1400</v>
      </c>
      <c r="E3" s="22">
        <v>2742.4</v>
      </c>
      <c r="F3" s="38">
        <v>1400</v>
      </c>
    </row>
    <row r="4" spans="1:6" ht="15">
      <c r="A4" s="22">
        <v>2</v>
      </c>
      <c r="B4" s="15" t="s">
        <v>26</v>
      </c>
      <c r="C4" s="22">
        <v>4593.6</v>
      </c>
      <c r="D4" s="38">
        <v>241.8</v>
      </c>
      <c r="E4" s="22">
        <v>4593.6</v>
      </c>
      <c r="F4" s="38">
        <v>241.8</v>
      </c>
    </row>
    <row r="5" spans="1:6" ht="30">
      <c r="A5" s="22">
        <v>3</v>
      </c>
      <c r="B5" s="15" t="s">
        <v>27</v>
      </c>
      <c r="C5" s="22">
        <v>13341.3</v>
      </c>
      <c r="D5" s="38">
        <v>6000</v>
      </c>
      <c r="E5" s="22">
        <v>13341.3</v>
      </c>
      <c r="F5" s="38">
        <v>5526.83903</v>
      </c>
    </row>
    <row r="6" spans="1:6" ht="15">
      <c r="A6" s="22">
        <v>4</v>
      </c>
      <c r="B6" s="15" t="s">
        <v>29</v>
      </c>
      <c r="C6" s="22">
        <v>2257.7</v>
      </c>
      <c r="D6" s="38">
        <v>112.885</v>
      </c>
      <c r="E6" s="22">
        <v>2257.7</v>
      </c>
      <c r="F6" s="38">
        <v>112.885</v>
      </c>
    </row>
    <row r="7" spans="1:6" ht="15">
      <c r="A7" s="22">
        <v>5</v>
      </c>
      <c r="B7" s="15" t="s">
        <v>30</v>
      </c>
      <c r="C7" s="22">
        <v>1075.3</v>
      </c>
      <c r="D7" s="38">
        <v>69</v>
      </c>
      <c r="E7" s="38">
        <v>1075.3</v>
      </c>
      <c r="F7" s="38">
        <v>0</v>
      </c>
    </row>
    <row r="8" spans="1:6" ht="15">
      <c r="A8" s="22">
        <v>6</v>
      </c>
      <c r="B8" s="15" t="s">
        <v>35</v>
      </c>
      <c r="C8" s="22">
        <v>3334.5</v>
      </c>
      <c r="D8" s="38">
        <v>1500</v>
      </c>
      <c r="E8" s="22">
        <v>3334.5</v>
      </c>
      <c r="F8" s="38">
        <v>1500</v>
      </c>
    </row>
    <row r="9" spans="1:6" ht="15">
      <c r="A9" s="22">
        <v>7</v>
      </c>
      <c r="B9" s="15" t="s">
        <v>38</v>
      </c>
      <c r="C9" s="22">
        <v>4424.6</v>
      </c>
      <c r="D9" s="38">
        <v>2000</v>
      </c>
      <c r="E9" s="22">
        <v>4424.6</v>
      </c>
      <c r="F9" s="38">
        <v>2000</v>
      </c>
    </row>
    <row r="10" spans="1:6" ht="30">
      <c r="A10" s="22">
        <v>8</v>
      </c>
      <c r="B10" s="15" t="s">
        <v>39</v>
      </c>
      <c r="C10" s="22">
        <v>21743.9</v>
      </c>
      <c r="D10" s="38">
        <v>6000</v>
      </c>
      <c r="E10" s="22">
        <v>21743.9</v>
      </c>
      <c r="F10" s="38">
        <v>6000</v>
      </c>
    </row>
    <row r="11" spans="1:6" ht="15">
      <c r="A11" s="22">
        <v>9</v>
      </c>
      <c r="B11" s="15" t="s">
        <v>42</v>
      </c>
      <c r="C11" s="22">
        <v>8386.6</v>
      </c>
      <c r="D11" s="38">
        <v>441.4</v>
      </c>
      <c r="E11" s="22">
        <v>8386.6</v>
      </c>
      <c r="F11" s="38">
        <v>441.4</v>
      </c>
    </row>
    <row r="12" spans="1:6" ht="15">
      <c r="A12" s="22">
        <v>10</v>
      </c>
      <c r="B12" s="15" t="s">
        <v>43</v>
      </c>
      <c r="C12" s="22">
        <v>6308.7</v>
      </c>
      <c r="D12" s="38">
        <v>3000</v>
      </c>
      <c r="E12" s="22">
        <v>6308.7</v>
      </c>
      <c r="F12" s="38">
        <v>3000</v>
      </c>
    </row>
    <row r="13" spans="1:6" ht="15">
      <c r="A13" s="22">
        <v>11</v>
      </c>
      <c r="B13" s="15" t="s">
        <v>44</v>
      </c>
      <c r="C13" s="22">
        <v>4439.6</v>
      </c>
      <c r="D13" s="38">
        <v>1000</v>
      </c>
      <c r="E13" s="22">
        <v>4439.6</v>
      </c>
      <c r="F13" s="38">
        <v>1000</v>
      </c>
    </row>
    <row r="14" spans="1:6" ht="15">
      <c r="A14" s="22">
        <v>12</v>
      </c>
      <c r="B14" s="15" t="s">
        <v>45</v>
      </c>
      <c r="C14" s="22">
        <v>6216.9</v>
      </c>
      <c r="D14" s="38">
        <v>327.205</v>
      </c>
      <c r="E14" s="22">
        <v>6216.9</v>
      </c>
      <c r="F14" s="38">
        <v>327.205</v>
      </c>
    </row>
    <row r="15" spans="1:6" ht="15">
      <c r="A15" s="22">
        <v>13</v>
      </c>
      <c r="B15" s="15" t="s">
        <v>47</v>
      </c>
      <c r="C15" s="22">
        <v>668.2</v>
      </c>
      <c r="D15" s="38">
        <v>300</v>
      </c>
      <c r="E15" s="22">
        <v>668.2</v>
      </c>
      <c r="F15" s="38">
        <v>300</v>
      </c>
    </row>
    <row r="16" spans="1:6" ht="15">
      <c r="A16" s="22">
        <v>14</v>
      </c>
      <c r="B16" s="15" t="s">
        <v>52</v>
      </c>
      <c r="C16" s="22">
        <v>3002</v>
      </c>
      <c r="D16" s="38">
        <v>1350</v>
      </c>
      <c r="E16" s="22">
        <v>3002</v>
      </c>
      <c r="F16" s="38">
        <v>1350</v>
      </c>
    </row>
    <row r="17" spans="1:6" ht="15">
      <c r="A17" s="22">
        <v>15</v>
      </c>
      <c r="B17" s="15" t="s">
        <v>53</v>
      </c>
      <c r="C17" s="22">
        <v>8151</v>
      </c>
      <c r="D17" s="38">
        <v>4000</v>
      </c>
      <c r="E17" s="22">
        <v>8151</v>
      </c>
      <c r="F17" s="38">
        <v>4000</v>
      </c>
    </row>
    <row r="18" spans="1:6" ht="15">
      <c r="A18" s="22">
        <v>16</v>
      </c>
      <c r="B18" s="15" t="s">
        <v>54</v>
      </c>
      <c r="C18" s="22">
        <v>5918.2</v>
      </c>
      <c r="D18" s="38">
        <v>2586</v>
      </c>
      <c r="E18" s="22">
        <v>5918.2</v>
      </c>
      <c r="F18" s="38">
        <v>2586</v>
      </c>
    </row>
    <row r="19" spans="1:6" ht="15">
      <c r="A19" s="22">
        <v>17</v>
      </c>
      <c r="B19" s="15" t="s">
        <v>55</v>
      </c>
      <c r="C19" s="22">
        <v>9955.7</v>
      </c>
      <c r="D19" s="38">
        <v>524</v>
      </c>
      <c r="E19" s="22">
        <v>9955.7</v>
      </c>
      <c r="F19" s="38">
        <v>524</v>
      </c>
    </row>
    <row r="20" spans="1:6" ht="15">
      <c r="A20" s="22">
        <v>18</v>
      </c>
      <c r="B20" s="15" t="s">
        <v>56</v>
      </c>
      <c r="C20" s="22">
        <v>4186.6</v>
      </c>
      <c r="D20" s="38">
        <v>1800</v>
      </c>
      <c r="E20" s="22">
        <v>4186.6</v>
      </c>
      <c r="F20" s="38">
        <v>1800</v>
      </c>
    </row>
    <row r="21" spans="1:6" ht="15">
      <c r="A21" s="22">
        <v>19</v>
      </c>
      <c r="B21" s="15" t="s">
        <v>57</v>
      </c>
      <c r="C21" s="22">
        <v>2281.2</v>
      </c>
      <c r="D21" s="38">
        <v>1004.2</v>
      </c>
      <c r="E21" s="22">
        <v>2281.2</v>
      </c>
      <c r="F21" s="38">
        <v>1004.2</v>
      </c>
    </row>
    <row r="22" spans="1:6" ht="15">
      <c r="A22" s="22">
        <v>20</v>
      </c>
      <c r="B22" s="15" t="s">
        <v>59</v>
      </c>
      <c r="C22" s="22">
        <v>4616.6</v>
      </c>
      <c r="D22" s="38">
        <v>2000</v>
      </c>
      <c r="E22" s="22">
        <v>4616.6</v>
      </c>
      <c r="F22" s="38">
        <v>2000</v>
      </c>
    </row>
    <row r="23" spans="1:6" ht="15">
      <c r="A23" s="22">
        <v>21</v>
      </c>
      <c r="B23" s="15" t="s">
        <v>60</v>
      </c>
      <c r="C23" s="22">
        <v>4576.4</v>
      </c>
      <c r="D23" s="38">
        <v>2000</v>
      </c>
      <c r="E23" s="22">
        <v>4576.4</v>
      </c>
      <c r="F23" s="38">
        <v>2000</v>
      </c>
    </row>
    <row r="24" spans="1:6" ht="15">
      <c r="A24" s="22">
        <v>22</v>
      </c>
      <c r="B24" s="15" t="s">
        <v>61</v>
      </c>
      <c r="C24" s="22">
        <v>4485.9</v>
      </c>
      <c r="D24" s="38">
        <v>2000</v>
      </c>
      <c r="E24" s="22">
        <v>4485.9</v>
      </c>
      <c r="F24" s="38">
        <v>2000</v>
      </c>
    </row>
    <row r="25" spans="1:6" ht="15">
      <c r="A25" s="22">
        <v>23</v>
      </c>
      <c r="B25" s="15" t="s">
        <v>62</v>
      </c>
      <c r="C25" s="22">
        <v>2300.7</v>
      </c>
      <c r="D25" s="38">
        <v>986.1</v>
      </c>
      <c r="E25" s="22">
        <v>2300.7</v>
      </c>
      <c r="F25" s="38">
        <v>986.1</v>
      </c>
    </row>
    <row r="26" spans="1:6" ht="15">
      <c r="A26" s="22">
        <v>24</v>
      </c>
      <c r="B26" s="15" t="s">
        <v>64</v>
      </c>
      <c r="C26" s="22">
        <v>4232.9</v>
      </c>
      <c r="D26" s="38">
        <v>1814.1</v>
      </c>
      <c r="E26" s="22">
        <v>4232.9</v>
      </c>
      <c r="F26" s="38">
        <v>1814.1</v>
      </c>
    </row>
    <row r="27" spans="1:6" ht="15">
      <c r="A27" s="22">
        <v>25</v>
      </c>
      <c r="B27" s="15" t="s">
        <v>65</v>
      </c>
      <c r="C27" s="22">
        <v>8825.6</v>
      </c>
      <c r="D27" s="38">
        <v>2700</v>
      </c>
      <c r="E27" s="22">
        <v>8825.6</v>
      </c>
      <c r="F27" s="38">
        <v>2700</v>
      </c>
    </row>
    <row r="28" spans="1:6" ht="15">
      <c r="A28" s="22">
        <v>26</v>
      </c>
      <c r="B28" s="15" t="s">
        <v>66</v>
      </c>
      <c r="C28" s="22">
        <v>4435.7</v>
      </c>
      <c r="D28" s="38">
        <v>1905</v>
      </c>
      <c r="E28" s="38">
        <v>4435.69949</v>
      </c>
      <c r="F28" s="38">
        <v>1905</v>
      </c>
    </row>
    <row r="29" spans="1:6" ht="15">
      <c r="A29" s="22">
        <v>27</v>
      </c>
      <c r="B29" s="15" t="s">
        <v>67</v>
      </c>
      <c r="C29" s="22">
        <v>17272.5</v>
      </c>
      <c r="D29" s="38">
        <v>7402.5</v>
      </c>
      <c r="E29" s="22">
        <v>17272.5</v>
      </c>
      <c r="F29" s="38">
        <v>7402.5</v>
      </c>
    </row>
    <row r="30" spans="1:6" ht="15">
      <c r="A30" s="22">
        <v>28</v>
      </c>
      <c r="B30" s="15" t="s">
        <v>68</v>
      </c>
      <c r="C30" s="22">
        <v>2727.3</v>
      </c>
      <c r="D30" s="38">
        <v>1169</v>
      </c>
      <c r="E30" s="22">
        <v>2727.3</v>
      </c>
      <c r="F30" s="38">
        <v>1169</v>
      </c>
    </row>
    <row r="31" spans="1:6" ht="15">
      <c r="A31" s="22">
        <v>29</v>
      </c>
      <c r="B31" s="15" t="s">
        <v>69</v>
      </c>
      <c r="C31" s="22">
        <v>2205.7</v>
      </c>
      <c r="D31" s="38">
        <v>1000</v>
      </c>
      <c r="E31" s="22">
        <v>2205.7</v>
      </c>
      <c r="F31" s="38">
        <v>1000</v>
      </c>
    </row>
    <row r="32" spans="1:6" ht="15">
      <c r="A32" s="22">
        <v>30</v>
      </c>
      <c r="B32" s="15" t="s">
        <v>70</v>
      </c>
      <c r="C32" s="22">
        <v>2761.3</v>
      </c>
      <c r="D32" s="38">
        <v>1200</v>
      </c>
      <c r="E32" s="22">
        <v>2761.3</v>
      </c>
      <c r="F32" s="38">
        <v>1200</v>
      </c>
    </row>
    <row r="33" spans="1:6" ht="15">
      <c r="A33" s="22">
        <v>31</v>
      </c>
      <c r="B33" s="15" t="s">
        <v>71</v>
      </c>
      <c r="C33" s="22">
        <v>5105.4</v>
      </c>
      <c r="D33" s="38">
        <v>1535</v>
      </c>
      <c r="E33" s="22">
        <v>5105.4</v>
      </c>
      <c r="F33" s="38">
        <v>1535</v>
      </c>
    </row>
    <row r="34" spans="1:6" ht="15">
      <c r="A34" s="22">
        <v>32</v>
      </c>
      <c r="B34" s="15" t="s">
        <v>72</v>
      </c>
      <c r="C34" s="22">
        <v>2632.4</v>
      </c>
      <c r="D34" s="38">
        <v>1200</v>
      </c>
      <c r="E34" s="22">
        <v>2632.4</v>
      </c>
      <c r="F34" s="38">
        <v>1200</v>
      </c>
    </row>
    <row r="35" spans="1:6" ht="15">
      <c r="A35" s="22">
        <v>33</v>
      </c>
      <c r="B35" s="15" t="s">
        <v>73</v>
      </c>
      <c r="C35" s="22">
        <v>3964.5</v>
      </c>
      <c r="D35" s="38">
        <v>1000</v>
      </c>
      <c r="E35" s="22">
        <v>3964.5</v>
      </c>
      <c r="F35" s="38">
        <v>1000</v>
      </c>
    </row>
    <row r="36" spans="1:6" ht="15">
      <c r="A36" s="22">
        <v>34</v>
      </c>
      <c r="B36" s="15" t="s">
        <v>76</v>
      </c>
      <c r="C36" s="22">
        <v>2181</v>
      </c>
      <c r="D36" s="38">
        <v>1000</v>
      </c>
      <c r="E36" s="22">
        <v>2181</v>
      </c>
      <c r="F36" s="38">
        <v>1000</v>
      </c>
    </row>
    <row r="37" spans="1:6" ht="15">
      <c r="A37" s="22">
        <v>35</v>
      </c>
      <c r="B37" s="15" t="s">
        <v>78</v>
      </c>
      <c r="C37" s="22">
        <v>5740.7</v>
      </c>
      <c r="D37" s="38">
        <v>2460.3</v>
      </c>
      <c r="E37" s="22">
        <v>5740.7</v>
      </c>
      <c r="F37" s="38">
        <v>2460.3</v>
      </c>
    </row>
    <row r="38" spans="1:6" ht="15">
      <c r="A38" s="22">
        <v>36</v>
      </c>
      <c r="B38" s="15" t="s">
        <v>79</v>
      </c>
      <c r="C38" s="22">
        <v>19529.6</v>
      </c>
      <c r="D38" s="38">
        <v>8369.8</v>
      </c>
      <c r="E38" s="22">
        <v>19529.6</v>
      </c>
      <c r="F38" s="38">
        <v>8369.8</v>
      </c>
    </row>
    <row r="39" spans="1:6" ht="15">
      <c r="A39" s="22">
        <v>37</v>
      </c>
      <c r="B39" s="15" t="s">
        <v>82</v>
      </c>
      <c r="C39" s="22">
        <v>1767.6</v>
      </c>
      <c r="D39" s="38">
        <v>757.543</v>
      </c>
      <c r="E39" s="22">
        <v>1767.6</v>
      </c>
      <c r="F39" s="38">
        <v>757.543</v>
      </c>
    </row>
    <row r="40" spans="1:6" ht="15">
      <c r="A40" s="22">
        <v>38</v>
      </c>
      <c r="B40" s="15" t="s">
        <v>83</v>
      </c>
      <c r="C40" s="22">
        <v>1335.1</v>
      </c>
      <c r="D40" s="38">
        <v>600</v>
      </c>
      <c r="E40" s="22">
        <v>1335.1</v>
      </c>
      <c r="F40" s="38">
        <v>600</v>
      </c>
    </row>
    <row r="41" spans="1:6" ht="15">
      <c r="A41" s="22">
        <v>39</v>
      </c>
      <c r="B41" s="15" t="s">
        <v>84</v>
      </c>
      <c r="C41" s="22">
        <v>2732.3</v>
      </c>
      <c r="D41" s="38">
        <v>1269.8</v>
      </c>
      <c r="E41" s="22">
        <v>2732.3</v>
      </c>
      <c r="F41" s="38">
        <v>1269.8</v>
      </c>
    </row>
    <row r="42" spans="1:6" ht="15">
      <c r="A42" s="22">
        <v>40</v>
      </c>
      <c r="B42" s="15" t="s">
        <v>86</v>
      </c>
      <c r="C42" s="22">
        <v>8905.2</v>
      </c>
      <c r="D42" s="38">
        <v>500</v>
      </c>
      <c r="E42" s="22">
        <v>8905.2</v>
      </c>
      <c r="F42" s="38">
        <v>500</v>
      </c>
    </row>
    <row r="43" spans="1:6" ht="15">
      <c r="A43" s="22">
        <v>41</v>
      </c>
      <c r="B43" s="15" t="s">
        <v>88</v>
      </c>
      <c r="C43" s="22">
        <v>2908.4</v>
      </c>
      <c r="D43" s="38">
        <v>1260</v>
      </c>
      <c r="E43" s="22">
        <v>2908.4</v>
      </c>
      <c r="F43" s="38">
        <v>1260</v>
      </c>
    </row>
    <row r="44" spans="1:6" ht="15">
      <c r="A44" s="22">
        <v>42</v>
      </c>
      <c r="B44" s="15" t="s">
        <v>92</v>
      </c>
      <c r="C44" s="22">
        <v>18445.5</v>
      </c>
      <c r="D44" s="38">
        <v>7905.2</v>
      </c>
      <c r="E44" s="22">
        <v>18445.5</v>
      </c>
      <c r="F44" s="38">
        <v>7905.2</v>
      </c>
    </row>
    <row r="45" spans="1:6" ht="15">
      <c r="A45" s="22">
        <v>43</v>
      </c>
      <c r="B45" s="15" t="s">
        <v>93</v>
      </c>
      <c r="C45" s="22">
        <v>5631.1</v>
      </c>
      <c r="D45" s="38">
        <v>2436.4</v>
      </c>
      <c r="E45" s="22">
        <v>5631.1</v>
      </c>
      <c r="F45" s="38">
        <v>2436.4</v>
      </c>
    </row>
    <row r="46" spans="1:6" ht="15">
      <c r="A46" s="22">
        <v>44</v>
      </c>
      <c r="B46" s="15" t="s">
        <v>95</v>
      </c>
      <c r="C46" s="22">
        <v>10538.7</v>
      </c>
      <c r="D46" s="38">
        <v>4516.6</v>
      </c>
      <c r="E46" s="22">
        <v>10538.7</v>
      </c>
      <c r="F46" s="38">
        <v>4516.6</v>
      </c>
    </row>
    <row r="47" spans="1:6" ht="15">
      <c r="A47" s="22">
        <v>45</v>
      </c>
      <c r="B47" s="15" t="s">
        <v>96</v>
      </c>
      <c r="C47" s="22">
        <v>3327.9</v>
      </c>
      <c r="D47" s="38">
        <v>1436.91</v>
      </c>
      <c r="E47" s="22">
        <v>3327.9</v>
      </c>
      <c r="F47" s="38">
        <v>1436.91</v>
      </c>
    </row>
    <row r="48" spans="1:6" ht="15">
      <c r="A48" s="22">
        <v>46</v>
      </c>
      <c r="B48" s="15" t="s">
        <v>97</v>
      </c>
      <c r="C48" s="22">
        <v>5873.3</v>
      </c>
      <c r="D48" s="38">
        <v>2000</v>
      </c>
      <c r="E48" s="22">
        <v>5873.3</v>
      </c>
      <c r="F48" s="38">
        <v>2000</v>
      </c>
    </row>
    <row r="49" spans="1:6" ht="15">
      <c r="A49" s="22">
        <v>47</v>
      </c>
      <c r="B49" s="15" t="s">
        <v>99</v>
      </c>
      <c r="C49" s="22">
        <v>9796</v>
      </c>
      <c r="D49" s="38">
        <v>5000</v>
      </c>
      <c r="E49" s="22">
        <v>9796</v>
      </c>
      <c r="F49" s="38">
        <v>5000</v>
      </c>
    </row>
    <row r="50" spans="1:6" ht="30">
      <c r="A50" s="22">
        <v>48</v>
      </c>
      <c r="B50" s="15" t="s">
        <v>101</v>
      </c>
      <c r="C50" s="22">
        <v>8892</v>
      </c>
      <c r="D50" s="38">
        <v>468</v>
      </c>
      <c r="E50" s="38">
        <v>8890.2</v>
      </c>
      <c r="F50" s="38">
        <v>468</v>
      </c>
    </row>
    <row r="51" spans="1:6" ht="30">
      <c r="A51" s="22">
        <v>49</v>
      </c>
      <c r="B51" s="15" t="s">
        <v>122</v>
      </c>
      <c r="C51" s="22">
        <v>15224.7</v>
      </c>
      <c r="D51" s="38">
        <v>6560.995</v>
      </c>
      <c r="E51" s="22">
        <v>15224.7</v>
      </c>
      <c r="F51" s="38">
        <v>6560.995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6.625" style="0" customWidth="1"/>
    <col min="2" max="2" width="27.375" style="0" customWidth="1"/>
    <col min="3" max="3" width="14.625" style="0" customWidth="1"/>
    <col min="4" max="4" width="18.75390625" style="0" customWidth="1"/>
    <col min="5" max="5" width="16.625" style="0" customWidth="1"/>
    <col min="6" max="6" width="16.75390625" style="0" customWidth="1"/>
  </cols>
  <sheetData>
    <row r="1" spans="1:6" ht="67.5" customHeight="1">
      <c r="A1" s="18" t="s">
        <v>114</v>
      </c>
      <c r="B1" s="18" t="s">
        <v>115</v>
      </c>
      <c r="C1" s="18" t="s">
        <v>125</v>
      </c>
      <c r="D1" s="19" t="s">
        <v>126</v>
      </c>
      <c r="E1" s="18" t="s">
        <v>127</v>
      </c>
      <c r="F1" s="19" t="s">
        <v>128</v>
      </c>
    </row>
    <row r="2" spans="1:6" ht="57.75" customHeight="1">
      <c r="A2" s="22">
        <v>1</v>
      </c>
      <c r="B2" s="35" t="s">
        <v>106</v>
      </c>
      <c r="C2" s="20">
        <v>45628900</v>
      </c>
      <c r="D2" s="20">
        <v>50853600</v>
      </c>
      <c r="E2" s="20">
        <v>45628900</v>
      </c>
      <c r="F2" s="20">
        <v>43452530</v>
      </c>
    </row>
    <row r="3" spans="1:6" ht="38.25">
      <c r="A3" s="22">
        <v>2</v>
      </c>
      <c r="B3" s="35" t="s">
        <v>107</v>
      </c>
      <c r="C3" s="20">
        <v>10952000</v>
      </c>
      <c r="D3" s="20">
        <v>9880300</v>
      </c>
      <c r="E3" s="20">
        <v>10949751.99</v>
      </c>
      <c r="F3" s="20">
        <v>9880300</v>
      </c>
    </row>
    <row r="4" spans="1:6" ht="38.25">
      <c r="A4" s="22">
        <v>3</v>
      </c>
      <c r="B4" s="35" t="s">
        <v>108</v>
      </c>
      <c r="C4" s="20">
        <v>14465500</v>
      </c>
      <c r="D4" s="20">
        <v>13841314</v>
      </c>
      <c r="E4" s="20">
        <v>14465500</v>
      </c>
      <c r="F4" s="20">
        <v>13841314</v>
      </c>
    </row>
    <row r="5" spans="1:6" ht="51">
      <c r="A5" s="22">
        <v>4</v>
      </c>
      <c r="B5" s="35" t="s">
        <v>109</v>
      </c>
      <c r="C5" s="20">
        <v>17432500</v>
      </c>
      <c r="D5" s="20">
        <v>17954561.17</v>
      </c>
      <c r="E5" s="20">
        <v>17432500</v>
      </c>
      <c r="F5" s="20">
        <v>17954561.17</v>
      </c>
    </row>
    <row r="6" spans="1:6" ht="51">
      <c r="A6" s="22">
        <v>5</v>
      </c>
      <c r="B6" s="35" t="s">
        <v>110</v>
      </c>
      <c r="C6" s="20">
        <v>9183100</v>
      </c>
      <c r="D6" s="20">
        <v>8757900</v>
      </c>
      <c r="E6" s="20">
        <v>9183100</v>
      </c>
      <c r="F6" s="20">
        <v>8757900</v>
      </c>
    </row>
    <row r="7" spans="1:6" ht="38.25">
      <c r="A7" s="22">
        <v>6</v>
      </c>
      <c r="B7" s="35" t="s">
        <v>111</v>
      </c>
      <c r="C7" s="20">
        <v>12379900</v>
      </c>
      <c r="D7" s="20">
        <v>12746000</v>
      </c>
      <c r="E7" s="20">
        <v>12379900</v>
      </c>
      <c r="F7" s="20">
        <v>12750000</v>
      </c>
    </row>
    <row r="8" spans="1:6" ht="63.75">
      <c r="A8" s="22">
        <v>7</v>
      </c>
      <c r="B8" s="35" t="s">
        <v>112</v>
      </c>
      <c r="C8" s="20">
        <v>54534500</v>
      </c>
      <c r="D8" s="20">
        <v>49096500</v>
      </c>
      <c r="E8" s="20">
        <v>54534500</v>
      </c>
      <c r="F8" s="20">
        <v>51374860</v>
      </c>
    </row>
    <row r="9" spans="1:6" ht="89.25">
      <c r="A9" s="22">
        <v>8</v>
      </c>
      <c r="B9" s="35" t="s">
        <v>113</v>
      </c>
      <c r="C9" s="20">
        <v>2463600</v>
      </c>
      <c r="D9" s="20">
        <v>2212610</v>
      </c>
      <c r="E9" s="20">
        <v>2463600</v>
      </c>
      <c r="F9" s="20">
        <v>2212610</v>
      </c>
    </row>
    <row r="10" spans="1:6" ht="12.75">
      <c r="A10" s="21"/>
      <c r="B10" s="19" t="s">
        <v>116</v>
      </c>
      <c r="C10" s="23">
        <f>SUM(C2:C9)</f>
        <v>167040000</v>
      </c>
      <c r="D10" s="23">
        <f>SUM(D2:D9)</f>
        <v>165342785.17000002</v>
      </c>
      <c r="E10" s="23">
        <f>SUM(E2:E9)</f>
        <v>167037751.99</v>
      </c>
      <c r="F10" s="23">
        <f>SUM(F2:F9)</f>
        <v>160224075.17000002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OdnovorovaIG</cp:lastModifiedBy>
  <cp:lastPrinted>2016-11-10T11:40:26Z</cp:lastPrinted>
  <dcterms:created xsi:type="dcterms:W3CDTF">2011-03-11T07:45:02Z</dcterms:created>
  <dcterms:modified xsi:type="dcterms:W3CDTF">2017-05-03T07:56:00Z</dcterms:modified>
  <cp:category/>
  <cp:version/>
  <cp:contentType/>
  <cp:contentStatus/>
</cp:coreProperties>
</file>